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506" windowWidth="11370" windowHeight="5400" activeTab="0"/>
  </bookViews>
  <sheets>
    <sheet name="Design Data" sheetId="1" r:id="rId1"/>
    <sheet name="Plan Sheet" sheetId="2" r:id="rId2"/>
    <sheet name="Plan" sheetId="3" r:id="rId3"/>
    <sheet name="Calculations" sheetId="4" r:id="rId4"/>
    <sheet name="Help" sheetId="5" r:id="rId5"/>
  </sheets>
  <definedNames>
    <definedName name="anscount" hidden="1">1</definedName>
    <definedName name="BFo">'Design Data'!#REF!</definedName>
    <definedName name="Bwc">'Design Data'!$F$10</definedName>
    <definedName name="Bwi">'Design Data'!$C$10</definedName>
    <definedName name="Bwo">'Design Data'!$I$10</definedName>
    <definedName name="Cd">'Calculations'!$D$36</definedName>
    <definedName name="d">'Design Data'!$F$15</definedName>
    <definedName name="Fs">'Design Data'!$F$11</definedName>
    <definedName name="Hd">'Design Data'!$C$18</definedName>
    <definedName name="high">'Design Data'!$D$17</definedName>
    <definedName name="Hp">'Calculations'!$C$38</definedName>
    <definedName name="mc">'Design Data'!$F$12</definedName>
    <definedName name="mi">'Design Data'!$C$11</definedName>
    <definedName name="mo">'Design Data'!$I$11</definedName>
    <definedName name="ni">'Design Data'!$C$12</definedName>
    <definedName name="no">'Design Data'!$I$12</definedName>
    <definedName name="_xlnm.Print_Area" localSheetId="3">'Calculations'!$A$1:$J$95</definedName>
    <definedName name="_xlnm.Print_Area" localSheetId="0">'Design Data'!$A$1:$J$59</definedName>
    <definedName name="_xlnm.Print_Area" localSheetId="4">'Help'!$A$1:$J$135</definedName>
    <definedName name="_xlnm.Print_Area" localSheetId="2">'Plan'!$A$1:$J$54</definedName>
    <definedName name="_xlnm.Print_Area" localSheetId="1">'Plan Sheet'!$A$1:$J$62</definedName>
    <definedName name="_xlnm.Print_Titles" localSheetId="3">'Calculations'!$1:$6</definedName>
    <definedName name="Qhigh">'Design Data'!$C$22</definedName>
    <definedName name="Qlow">'Design Data'!$C$23</definedName>
    <definedName name="Sc">'Design Data'!$F$13</definedName>
    <definedName name="Sccheck">'Calculations'!$S$27</definedName>
    <definedName name="Scupstreamchannel">'Calculations'!$Q$23</definedName>
    <definedName name="Si">'Design Data'!$C$13</definedName>
    <definedName name="So">'Design Data'!$I$13</definedName>
    <definedName name="solver_adj" localSheetId="3" hidden="1">'Calculations'!$C$11</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'Calculations'!$C$13</definedName>
    <definedName name="solver_lin" localSheetId="3" hidden="1">2</definedName>
    <definedName name="solver_neg" localSheetId="3" hidden="1">2</definedName>
    <definedName name="solver_num" localSheetId="3" hidden="1">1</definedName>
    <definedName name="solver_nwt" localSheetId="3" hidden="1">1</definedName>
    <definedName name="solver_opt" localSheetId="3" hidden="1">'Calculations'!$C$13</definedName>
    <definedName name="solver_pre" localSheetId="3" hidden="1">0.000001</definedName>
    <definedName name="solver_rel1" localSheetId="3" hidden="1">2</definedName>
    <definedName name="solver_rhs1" localSheetId="3" hidden="1">'Calculations'!$J$11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330</definedName>
    <definedName name="Tw">'Calculations'!$C$29</definedName>
    <definedName name="Vo">'Calculations'!$C$40</definedName>
    <definedName name="yc">'Calculations'!$C$18</definedName>
  </definedNames>
  <calcPr fullCalcOnLoad="1"/>
</workbook>
</file>

<file path=xl/sharedStrings.xml><?xml version="1.0" encoding="utf-8"?>
<sst xmlns="http://schemas.openxmlformats.org/spreadsheetml/2006/main" count="562" uniqueCount="422">
  <si>
    <t>% Passing</t>
  </si>
  <si>
    <t>Diameter, in. (weight, lbs.)</t>
  </si>
  <si>
    <r>
      <t>D</t>
    </r>
    <r>
      <rPr>
        <vertAlign val="subscript"/>
        <sz val="12"/>
        <rFont val="Arial"/>
        <family val="2"/>
      </rPr>
      <t>100</t>
    </r>
  </si>
  <si>
    <r>
      <t>D</t>
    </r>
    <r>
      <rPr>
        <vertAlign val="subscript"/>
        <sz val="12"/>
        <rFont val="Arial"/>
        <family val="2"/>
      </rPr>
      <t>85</t>
    </r>
  </si>
  <si>
    <r>
      <t>D</t>
    </r>
    <r>
      <rPr>
        <vertAlign val="subscript"/>
        <sz val="12"/>
        <rFont val="Arial"/>
        <family val="2"/>
      </rPr>
      <t>50</t>
    </r>
  </si>
  <si>
    <r>
      <t>D</t>
    </r>
    <r>
      <rPr>
        <vertAlign val="subscript"/>
        <sz val="12"/>
        <rFont val="Arial"/>
        <family val="2"/>
      </rPr>
      <t>10</t>
    </r>
  </si>
  <si>
    <t>Rock Gradation Envelope</t>
  </si>
  <si>
    <t>Stakeout Notes</t>
  </si>
  <si>
    <t xml:space="preserve">    function adequately</t>
  </si>
  <si>
    <t>*** The outlet</t>
  </si>
  <si>
    <r>
      <t xml:space="preserve">        </t>
    </r>
    <r>
      <rPr>
        <b/>
        <i/>
        <u val="single"/>
        <sz val="12"/>
        <rFont val="Arial"/>
        <family val="2"/>
      </rPr>
      <t>Chute</t>
    </r>
  </si>
  <si>
    <t>Designates the bottom width for the inlet channel, the chute, and the outlet channel sections.</t>
  </si>
  <si>
    <t>approach velocity and head).</t>
  </si>
  <si>
    <t xml:space="preserve">Normal depth in the inlet channel determined by using Manning's equation (accelerated flow </t>
  </si>
  <si>
    <t>Area of flow corresponding to normal depth in the chute.</t>
  </si>
  <si>
    <t>Froude number corresponding to normal chute depth.</t>
  </si>
  <si>
    <t>Total minimum specific energy head (sum of critical depth and velocity head).</t>
  </si>
  <si>
    <t>Is the difference in elevation between the inlet apron and outlet channel.</t>
  </si>
  <si>
    <t>Head upstream of the weir crest required to force flow through the weir.</t>
  </si>
  <si>
    <t>Equivalent unit discharge in the rock chute.</t>
  </si>
  <si>
    <t>Mean depth in the rock chute.</t>
  </si>
  <si>
    <t>Horizontal component of the side slope ratio (m:1).</t>
  </si>
  <si>
    <t>Rock Chute Design - Cut/Paste Plan</t>
  </si>
  <si>
    <r>
      <t>Q</t>
    </r>
    <r>
      <rPr>
        <i/>
        <vertAlign val="subscript"/>
        <sz val="11"/>
        <rFont val="Arial"/>
        <family val="2"/>
      </rPr>
      <t xml:space="preserve">low </t>
    </r>
    <r>
      <rPr>
        <i/>
        <sz val="11"/>
        <rFont val="Arial"/>
        <family val="2"/>
      </rPr>
      <t>(cfs) =</t>
    </r>
  </si>
  <si>
    <t>Any questions or comments please contact:</t>
  </si>
  <si>
    <t>Outlet Apron</t>
  </si>
  <si>
    <t>Profile Along Centerline of Chute</t>
  </si>
  <si>
    <t>Typical Cross Section</t>
  </si>
  <si>
    <t>n-value =</t>
  </si>
  <si>
    <t xml:space="preserve">Project: </t>
  </si>
  <si>
    <t xml:space="preserve">Designer: </t>
  </si>
  <si>
    <t xml:space="preserve">Date: </t>
  </si>
  <si>
    <t xml:space="preserve">Inlet Apron </t>
  </si>
  <si>
    <t>Tw (ft.) =</t>
  </si>
  <si>
    <r>
      <t>y</t>
    </r>
    <r>
      <rPr>
        <vertAlign val="subscript"/>
        <sz val="11"/>
        <rFont val="Arial"/>
        <family val="2"/>
      </rPr>
      <t>n</t>
    </r>
    <r>
      <rPr>
        <sz val="11"/>
        <rFont val="Arial"/>
        <family val="2"/>
      </rPr>
      <t xml:space="preserve"> =</t>
    </r>
  </si>
  <si>
    <r>
      <t>H</t>
    </r>
    <r>
      <rPr>
        <vertAlign val="subscript"/>
        <sz val="11"/>
        <rFont val="Arial"/>
        <family val="2"/>
      </rPr>
      <t>p</t>
    </r>
    <r>
      <rPr>
        <sz val="11"/>
        <rFont val="Arial"/>
        <family val="2"/>
      </rPr>
      <t xml:space="preserve"> =</t>
    </r>
  </si>
  <si>
    <t>---</t>
  </si>
  <si>
    <t>II. Calculate the critical depth in the chute</t>
  </si>
  <si>
    <t>III. Calculate the tailwater depth in the outlet channel</t>
  </si>
  <si>
    <r>
      <t>0.715y</t>
    </r>
    <r>
      <rPr>
        <vertAlign val="subscript"/>
        <sz val="11"/>
        <rFont val="Arial"/>
        <family val="2"/>
      </rPr>
      <t>c</t>
    </r>
    <r>
      <rPr>
        <sz val="11"/>
        <rFont val="Arial"/>
        <family val="2"/>
      </rPr>
      <t xml:space="preserve"> = </t>
    </r>
  </si>
  <si>
    <t>IV. Calculate the head for a trapezoidal shaped broadcrested weir</t>
  </si>
  <si>
    <t>Cd =</t>
  </si>
  <si>
    <t>(Coefficient of discharge for broadcrested weirs)</t>
  </si>
  <si>
    <t>d =</t>
  </si>
  <si>
    <t>n =</t>
  </si>
  <si>
    <r>
      <t>z</t>
    </r>
    <r>
      <rPr>
        <vertAlign val="subscript"/>
        <sz val="11"/>
        <rFont val="Arial"/>
        <family val="2"/>
      </rPr>
      <t>1</t>
    </r>
    <r>
      <rPr>
        <sz val="11"/>
        <rFont val="Arial"/>
        <family val="2"/>
      </rPr>
      <t xml:space="preserve"> =</t>
    </r>
  </si>
  <si>
    <t>Freeboard =</t>
  </si>
  <si>
    <r>
      <t>F</t>
    </r>
    <r>
      <rPr>
        <vertAlign val="subscript"/>
        <sz val="11"/>
        <rFont val="Arial"/>
        <family val="2"/>
      </rPr>
      <t>1</t>
    </r>
    <r>
      <rPr>
        <sz val="11"/>
        <rFont val="Arial"/>
        <family val="2"/>
      </rPr>
      <t xml:space="preserve"> =</t>
    </r>
  </si>
  <si>
    <t>----</t>
  </si>
  <si>
    <t xml:space="preserve">Energy Grade Line        </t>
  </si>
  <si>
    <t>VII. Calculate the energy lost through the jump (absorbed by the rock)</t>
  </si>
  <si>
    <r>
      <t>F</t>
    </r>
    <r>
      <rPr>
        <vertAlign val="subscript"/>
        <sz val="12"/>
        <rFont val="Arial"/>
        <family val="2"/>
      </rPr>
      <t>S</t>
    </r>
    <r>
      <rPr>
        <sz val="12"/>
        <rFont val="Arial"/>
        <family val="2"/>
      </rPr>
      <t xml:space="preserve"> =</t>
    </r>
  </si>
  <si>
    <r>
      <t>z</t>
    </r>
    <r>
      <rPr>
        <vertAlign val="subscript"/>
        <sz val="12"/>
        <rFont val="Arial"/>
        <family val="2"/>
      </rPr>
      <t>1</t>
    </r>
    <r>
      <rPr>
        <sz val="12"/>
        <rFont val="Arial"/>
        <family val="2"/>
      </rPr>
      <t xml:space="preserve"> =</t>
    </r>
  </si>
  <si>
    <r>
      <t>D</t>
    </r>
    <r>
      <rPr>
        <vertAlign val="subscript"/>
        <sz val="12"/>
        <rFont val="Arial"/>
        <family val="2"/>
      </rPr>
      <t>50</t>
    </r>
    <r>
      <rPr>
        <sz val="12"/>
        <rFont val="Arial"/>
        <family val="2"/>
      </rPr>
      <t>(F</t>
    </r>
    <r>
      <rPr>
        <vertAlign val="subscript"/>
        <sz val="12"/>
        <rFont val="Arial"/>
        <family val="2"/>
      </rPr>
      <t>s</t>
    </r>
    <r>
      <rPr>
        <sz val="12"/>
        <rFont val="Arial"/>
        <family val="2"/>
      </rPr>
      <t>) =</t>
    </r>
  </si>
  <si>
    <t>Equivalent unit discharge</t>
  </si>
  <si>
    <t>Normal depth in chute</t>
  </si>
  <si>
    <t>Checked by:</t>
  </si>
  <si>
    <t>Date:</t>
  </si>
  <si>
    <r>
      <t>2(D</t>
    </r>
    <r>
      <rPr>
        <vertAlign val="subscript"/>
        <sz val="12"/>
        <rFont val="Arial"/>
        <family val="2"/>
      </rPr>
      <t>50</t>
    </r>
    <r>
      <rPr>
        <sz val="12"/>
        <rFont val="Arial"/>
        <family val="2"/>
      </rPr>
      <t>)(F</t>
    </r>
    <r>
      <rPr>
        <vertAlign val="subscript"/>
        <sz val="12"/>
        <rFont val="Arial"/>
        <family val="2"/>
      </rPr>
      <t>s</t>
    </r>
    <r>
      <rPr>
        <sz val="12"/>
        <rFont val="Arial"/>
        <family val="2"/>
      </rPr>
      <t>) =</t>
    </r>
  </si>
  <si>
    <t>Manning's roughness coefficient</t>
  </si>
  <si>
    <t>Program</t>
  </si>
  <si>
    <t>I. Calculate the normal depth in the inlet channel</t>
  </si>
  <si>
    <r>
      <t>z</t>
    </r>
    <r>
      <rPr>
        <vertAlign val="subscript"/>
        <sz val="12"/>
        <rFont val="Arial"/>
        <family val="2"/>
      </rPr>
      <t>2</t>
    </r>
    <r>
      <rPr>
        <sz val="12"/>
        <rFont val="Arial"/>
        <family val="2"/>
      </rPr>
      <t xml:space="preserve"> =</t>
    </r>
  </si>
  <si>
    <t>Tw + d =</t>
  </si>
  <si>
    <t xml:space="preserve"> than the channel capacity, restricted flow or ponding will occur.  This</t>
  </si>
  <si>
    <t xml:space="preserve"> reduces velocity and prevents erosion upstream of the inlet apron.</t>
  </si>
  <si>
    <t>Q (cfs)</t>
  </si>
  <si>
    <t>Q + Base</t>
  </si>
  <si>
    <t>Flow (cfs)</t>
  </si>
  <si>
    <t>V. Calculate the rock chute parameters (w/o a factor of safety applied)</t>
  </si>
  <si>
    <r>
      <t>H</t>
    </r>
    <r>
      <rPr>
        <vertAlign val="subscript"/>
        <sz val="11"/>
        <rFont val="Arial"/>
        <family val="2"/>
      </rPr>
      <t>ce</t>
    </r>
    <r>
      <rPr>
        <sz val="11"/>
        <rFont val="Arial"/>
        <family val="2"/>
      </rPr>
      <t xml:space="preserve"> =</t>
    </r>
  </si>
  <si>
    <r>
      <t>h</t>
    </r>
    <r>
      <rPr>
        <vertAlign val="subscript"/>
        <sz val="11"/>
        <rFont val="Arial"/>
        <family val="2"/>
      </rPr>
      <t>pv</t>
    </r>
    <r>
      <rPr>
        <sz val="11"/>
        <rFont val="Arial"/>
        <family val="2"/>
      </rPr>
      <t xml:space="preserve"> =</t>
    </r>
  </si>
  <si>
    <r>
      <t>H</t>
    </r>
    <r>
      <rPr>
        <vertAlign val="subscript"/>
        <sz val="11"/>
        <rFont val="Arial"/>
        <family val="2"/>
      </rPr>
      <t>pe</t>
    </r>
    <r>
      <rPr>
        <sz val="11"/>
        <rFont val="Arial"/>
        <family val="2"/>
      </rPr>
      <t xml:space="preserve"> =</t>
    </r>
  </si>
  <si>
    <t>Area (sq.ft.)</t>
  </si>
  <si>
    <r>
      <t>D</t>
    </r>
    <r>
      <rPr>
        <b/>
        <vertAlign val="subscript"/>
        <sz val="11"/>
        <rFont val="Arial"/>
        <family val="2"/>
      </rPr>
      <t>50</t>
    </r>
    <r>
      <rPr>
        <b/>
        <sz val="11"/>
        <rFont val="Arial"/>
        <family val="2"/>
      </rPr>
      <t xml:space="preserve"> (mm) =</t>
    </r>
  </si>
  <si>
    <t>Trial and error procedure solving simultaneously for velocity and head</t>
  </si>
  <si>
    <t>y</t>
  </si>
  <si>
    <t>A</t>
  </si>
  <si>
    <t>V</t>
  </si>
  <si>
    <t>E</t>
  </si>
  <si>
    <t>Change</t>
  </si>
  <si>
    <t>x</t>
  </si>
  <si>
    <r>
      <t>V</t>
    </r>
    <r>
      <rPr>
        <b/>
        <vertAlign val="superscript"/>
        <sz val="11"/>
        <rFont val="Arial"/>
        <family val="2"/>
      </rPr>
      <t>2</t>
    </r>
    <r>
      <rPr>
        <b/>
        <sz val="11"/>
        <rFont val="Arial"/>
        <family val="2"/>
      </rPr>
      <t>/2g</t>
    </r>
  </si>
  <si>
    <r>
      <t>S</t>
    </r>
    <r>
      <rPr>
        <b/>
        <vertAlign val="subscript"/>
        <sz val="11"/>
        <rFont val="Arial"/>
        <family val="2"/>
      </rPr>
      <t>f</t>
    </r>
  </si>
  <si>
    <r>
      <t>S</t>
    </r>
    <r>
      <rPr>
        <b/>
        <vertAlign val="subscript"/>
        <sz val="11"/>
        <rFont val="Arial"/>
        <family val="2"/>
      </rPr>
      <t>o</t>
    </r>
    <r>
      <rPr>
        <b/>
        <sz val="11"/>
        <rFont val="Arial"/>
        <family val="2"/>
      </rPr>
      <t>-S</t>
    </r>
    <r>
      <rPr>
        <b/>
        <vertAlign val="subscript"/>
        <sz val="11"/>
        <rFont val="Arial"/>
        <family val="2"/>
      </rPr>
      <t>f</t>
    </r>
  </si>
  <si>
    <r>
      <t>R</t>
    </r>
    <r>
      <rPr>
        <b/>
        <vertAlign val="superscript"/>
        <sz val="11"/>
        <rFont val="Arial"/>
        <family val="2"/>
      </rPr>
      <t>1.333</t>
    </r>
  </si>
  <si>
    <t>Average</t>
  </si>
  <si>
    <t>0.715(Critical depth) =</t>
  </si>
  <si>
    <t>Critical depth =</t>
  </si>
  <si>
    <t xml:space="preserve"> Normal depth =</t>
  </si>
  <si>
    <t>Weir head =</t>
  </si>
  <si>
    <t xml:space="preserve">Direct Step Method - Water Surface Profiles </t>
  </si>
  <si>
    <r>
      <t>0.715*y</t>
    </r>
    <r>
      <rPr>
        <vertAlign val="subscript"/>
        <sz val="11"/>
        <rFont val="Arial"/>
        <family val="2"/>
      </rPr>
      <t>c</t>
    </r>
    <r>
      <rPr>
        <sz val="11"/>
        <rFont val="Arial"/>
        <family val="2"/>
      </rPr>
      <t xml:space="preserve"> (ft.) =</t>
    </r>
  </si>
  <si>
    <r>
      <t>y</t>
    </r>
    <r>
      <rPr>
        <vertAlign val="subscript"/>
        <sz val="11"/>
        <rFont val="Arial"/>
        <family val="2"/>
      </rPr>
      <t>c</t>
    </r>
    <r>
      <rPr>
        <sz val="11"/>
        <rFont val="Arial"/>
        <family val="2"/>
      </rPr>
      <t xml:space="preserve"> (ft.) =</t>
    </r>
  </si>
  <si>
    <r>
      <t>y</t>
    </r>
    <r>
      <rPr>
        <vertAlign val="subscript"/>
        <sz val="11"/>
        <rFont val="Arial"/>
        <family val="2"/>
      </rPr>
      <t>n</t>
    </r>
    <r>
      <rPr>
        <sz val="11"/>
        <rFont val="Arial"/>
        <family val="2"/>
      </rPr>
      <t xml:space="preserve"> (ft.) =</t>
    </r>
  </si>
  <si>
    <r>
      <t>H</t>
    </r>
    <r>
      <rPr>
        <vertAlign val="subscript"/>
        <sz val="11"/>
        <rFont val="Arial"/>
        <family val="2"/>
      </rPr>
      <t xml:space="preserve">p </t>
    </r>
    <r>
      <rPr>
        <sz val="11"/>
        <rFont val="Arial"/>
        <family val="2"/>
      </rPr>
      <t>(ft.) =</t>
    </r>
  </si>
  <si>
    <r>
      <t>Note</t>
    </r>
    <r>
      <rPr>
        <sz val="11"/>
        <rFont val="Arial"/>
        <family val="2"/>
      </rPr>
      <t>: for y</t>
    </r>
    <r>
      <rPr>
        <vertAlign val="subscript"/>
        <sz val="11"/>
        <rFont val="Arial"/>
        <family val="2"/>
      </rPr>
      <t>n</t>
    </r>
    <r>
      <rPr>
        <sz val="11"/>
        <rFont val="Arial"/>
        <family val="2"/>
      </rPr>
      <t xml:space="preserve"> less than H</t>
    </r>
    <r>
      <rPr>
        <vertAlign val="subscript"/>
        <sz val="11"/>
        <rFont val="Arial"/>
        <family val="2"/>
      </rPr>
      <t>p</t>
    </r>
  </si>
  <si>
    <r>
      <t xml:space="preserve"> 15(D</t>
    </r>
    <r>
      <rPr>
        <vertAlign val="subscript"/>
        <sz val="11"/>
        <rFont val="Arial"/>
        <family val="2"/>
      </rPr>
      <t>50</t>
    </r>
    <r>
      <rPr>
        <sz val="11"/>
        <rFont val="Arial"/>
        <family val="2"/>
      </rPr>
      <t>)(F</t>
    </r>
    <r>
      <rPr>
        <vertAlign val="subscript"/>
        <sz val="11"/>
        <rFont val="Arial"/>
        <family val="2"/>
      </rPr>
      <t>s</t>
    </r>
    <r>
      <rPr>
        <sz val="11"/>
        <rFont val="Arial"/>
        <family val="2"/>
      </rPr>
      <t>)</t>
    </r>
  </si>
  <si>
    <t>Profile and Cross Section (Output):</t>
  </si>
  <si>
    <t>Tw+d =</t>
  </si>
  <si>
    <r>
      <t xml:space="preserve">   H</t>
    </r>
    <r>
      <rPr>
        <vertAlign val="subscript"/>
        <sz val="11"/>
        <rFont val="Arial"/>
        <family val="2"/>
      </rPr>
      <t>p</t>
    </r>
  </si>
  <si>
    <r>
      <t xml:space="preserve">    </t>
    </r>
    <r>
      <rPr>
        <b/>
        <u val="single"/>
        <sz val="11"/>
        <rFont val="Arial"/>
        <family val="2"/>
      </rPr>
      <t>Note</t>
    </r>
    <r>
      <rPr>
        <sz val="11"/>
        <rFont val="Arial"/>
        <family val="2"/>
      </rPr>
      <t>: When the normal depth (</t>
    </r>
    <r>
      <rPr>
        <sz val="10"/>
        <rFont val="Arial"/>
        <family val="2"/>
      </rPr>
      <t>y</t>
    </r>
    <r>
      <rPr>
        <vertAlign val="subscript"/>
        <sz val="10"/>
        <rFont val="Arial"/>
        <family val="2"/>
      </rPr>
      <t>n</t>
    </r>
    <r>
      <rPr>
        <sz val="11"/>
        <rFont val="Arial"/>
        <family val="2"/>
      </rPr>
      <t xml:space="preserve">) in the inlet </t>
    </r>
  </si>
  <si>
    <r>
      <t xml:space="preserve"> channel is less than the weir head (</t>
    </r>
    <r>
      <rPr>
        <sz val="10"/>
        <rFont val="Arial"/>
        <family val="2"/>
      </rPr>
      <t>H</t>
    </r>
    <r>
      <rPr>
        <vertAlign val="subscript"/>
        <sz val="10"/>
        <rFont val="Arial"/>
        <family val="2"/>
      </rPr>
      <t>p</t>
    </r>
    <r>
      <rPr>
        <sz val="11"/>
        <rFont val="Arial"/>
        <family val="2"/>
      </rPr>
      <t>), ie., the weir capacity is less</t>
    </r>
  </si>
  <si>
    <t>Tailwater above outlet apron</t>
  </si>
  <si>
    <t>County:</t>
  </si>
  <si>
    <t>Design Values</t>
  </si>
  <si>
    <t>Inlet apron length =</t>
  </si>
  <si>
    <t>Outlet apron length =</t>
  </si>
  <si>
    <t>Inlet apron elev. =</t>
  </si>
  <si>
    <t>Rock Chute Cross Section</t>
  </si>
  <si>
    <t>Will bedding be used?</t>
  </si>
  <si>
    <t xml:space="preserve">Inlet apron </t>
  </si>
  <si>
    <t>Outlet apron</t>
  </si>
  <si>
    <t>Radius =</t>
  </si>
  <si>
    <t>Cost</t>
  </si>
  <si>
    <t>Unit</t>
  </si>
  <si>
    <t>Unit Cost</t>
  </si>
  <si>
    <t>Total</t>
  </si>
  <si>
    <t>elev. =</t>
  </si>
  <si>
    <t xml:space="preserve">            Outlet apron</t>
  </si>
  <si>
    <t>Bw =</t>
  </si>
  <si>
    <t>Side slopes =</t>
  </si>
  <si>
    <t xml:space="preserve"> Bed slope =</t>
  </si>
  <si>
    <t>Base flow =</t>
  </si>
  <si>
    <t>Bed slope =</t>
  </si>
  <si>
    <r>
      <t>Factor of safety</t>
    </r>
    <r>
      <rPr>
        <sz val="12"/>
        <rFont val="Arial"/>
        <family val="2"/>
      </rPr>
      <t xml:space="preserve"> =</t>
    </r>
  </si>
  <si>
    <r>
      <t>Q</t>
    </r>
    <r>
      <rPr>
        <vertAlign val="subscript"/>
        <sz val="12"/>
        <rFont val="Arial"/>
        <family val="2"/>
      </rPr>
      <t>high</t>
    </r>
    <r>
      <rPr>
        <sz val="12"/>
        <rFont val="Arial"/>
        <family val="2"/>
      </rPr>
      <t>=</t>
    </r>
  </si>
  <si>
    <r>
      <t>Earthfill</t>
    </r>
    <r>
      <rPr>
        <sz val="12"/>
        <rFont val="Arial"/>
        <family val="2"/>
      </rPr>
      <t xml:space="preserve"> =</t>
    </r>
  </si>
  <si>
    <r>
      <t xml:space="preserve">Excavation </t>
    </r>
    <r>
      <rPr>
        <sz val="12"/>
        <rFont val="Arial"/>
        <family val="2"/>
      </rPr>
      <t>=</t>
    </r>
  </si>
  <si>
    <t>Seeding =</t>
  </si>
  <si>
    <r>
      <t>Notes</t>
    </r>
    <r>
      <rPr>
        <sz val="12"/>
        <rFont val="Arial"/>
        <family val="2"/>
      </rPr>
      <t>:</t>
    </r>
  </si>
  <si>
    <t>Profile Along Centerline of Rock Chute</t>
  </si>
  <si>
    <t>Rock chute thickness</t>
  </si>
  <si>
    <r>
      <t>Rock</t>
    </r>
    <r>
      <rPr>
        <vertAlign val="subscript"/>
        <sz val="12"/>
        <rFont val="Arial"/>
        <family val="2"/>
      </rPr>
      <t>chute</t>
    </r>
    <r>
      <rPr>
        <sz val="12"/>
        <rFont val="Arial"/>
        <family val="2"/>
      </rPr>
      <t xml:space="preserve"> thickness =</t>
    </r>
  </si>
  <si>
    <t>Rock Chute Cost Estimate</t>
  </si>
  <si>
    <t xml:space="preserve">Rock </t>
  </si>
  <si>
    <t xml:space="preserve">Geotextile </t>
  </si>
  <si>
    <t>Bedding</t>
  </si>
  <si>
    <t>Excavation</t>
  </si>
  <si>
    <t>Earthfill</t>
  </si>
  <si>
    <t>Seeding</t>
  </si>
  <si>
    <t>Profile, Cross Sections, and Quantities</t>
  </si>
  <si>
    <t>L =</t>
  </si>
  <si>
    <r>
      <t>x</t>
    </r>
    <r>
      <rPr>
        <vertAlign val="subscript"/>
        <sz val="11"/>
        <rFont val="Arial"/>
        <family val="2"/>
      </rPr>
      <t>1</t>
    </r>
    <r>
      <rPr>
        <sz val="11"/>
        <rFont val="Arial"/>
        <family val="2"/>
      </rPr>
      <t xml:space="preserve"> =</t>
    </r>
  </si>
  <si>
    <r>
      <t>A</t>
    </r>
    <r>
      <rPr>
        <vertAlign val="subscript"/>
        <sz val="11"/>
        <rFont val="Arial"/>
        <family val="2"/>
      </rPr>
      <t>s</t>
    </r>
    <r>
      <rPr>
        <sz val="11"/>
        <rFont val="Arial"/>
        <family val="2"/>
      </rPr>
      <t xml:space="preserve"> =</t>
    </r>
  </si>
  <si>
    <r>
      <t>x</t>
    </r>
    <r>
      <rPr>
        <vertAlign val="subscript"/>
        <sz val="11"/>
        <rFont val="Arial"/>
        <family val="2"/>
      </rPr>
      <t>2</t>
    </r>
    <r>
      <rPr>
        <sz val="11"/>
        <rFont val="Arial"/>
        <family val="2"/>
      </rPr>
      <t xml:space="preserve"> =</t>
    </r>
  </si>
  <si>
    <r>
      <t>A</t>
    </r>
    <r>
      <rPr>
        <vertAlign val="subscript"/>
        <sz val="11"/>
        <rFont val="Arial"/>
        <family val="2"/>
      </rPr>
      <t>b</t>
    </r>
    <r>
      <rPr>
        <sz val="11"/>
        <rFont val="Arial"/>
        <family val="2"/>
      </rPr>
      <t xml:space="preserve"> =</t>
    </r>
  </si>
  <si>
    <t>h =</t>
  </si>
  <si>
    <t>Area Calculations</t>
  </si>
  <si>
    <t>Outlet =</t>
  </si>
  <si>
    <t>Inlet =</t>
  </si>
  <si>
    <t>Slope =</t>
  </si>
  <si>
    <t>2.5:1 Lip =</t>
  </si>
  <si>
    <t>Total =</t>
  </si>
  <si>
    <t>Rock Volume</t>
  </si>
  <si>
    <r>
      <t>A</t>
    </r>
    <r>
      <rPr>
        <b/>
        <vertAlign val="subscript"/>
        <sz val="11"/>
        <color indexed="14"/>
        <rFont val="Arial"/>
        <family val="2"/>
      </rPr>
      <t>b</t>
    </r>
    <r>
      <rPr>
        <b/>
        <sz val="11"/>
        <color indexed="14"/>
        <rFont val="Arial"/>
        <family val="2"/>
      </rPr>
      <t>+2*A</t>
    </r>
    <r>
      <rPr>
        <b/>
        <vertAlign val="subscript"/>
        <sz val="11"/>
        <color indexed="14"/>
        <rFont val="Arial"/>
        <family val="2"/>
      </rPr>
      <t xml:space="preserve">s </t>
    </r>
    <r>
      <rPr>
        <b/>
        <sz val="11"/>
        <color indexed="14"/>
        <rFont val="Arial"/>
        <family val="2"/>
      </rPr>
      <t>=</t>
    </r>
  </si>
  <si>
    <t>-------Rock Riprap Volume-------</t>
  </si>
  <si>
    <t>-------Bedding Volume-------</t>
  </si>
  <si>
    <t>-------Geotextile Quantity-------</t>
  </si>
  <si>
    <t>Bedding Volume</t>
  </si>
  <si>
    <t>Width</t>
  </si>
  <si>
    <t>Bottom =</t>
  </si>
  <si>
    <t>2*Slope =</t>
  </si>
  <si>
    <t>Geotextile Area</t>
  </si>
  <si>
    <t>Rock Chute</t>
  </si>
  <si>
    <t>Excavation =</t>
  </si>
  <si>
    <t>Earthfill =</t>
  </si>
  <si>
    <t>Rock Chute Design Data</t>
  </si>
  <si>
    <t>Rock Chute Design Calculations</t>
  </si>
  <si>
    <t>Rock Chute Design - Plan Sheet</t>
  </si>
  <si>
    <t>1)  Rock Chute Design Data</t>
  </si>
  <si>
    <t>2)  Rock Chute Design - Plan Sheet</t>
  </si>
  <si>
    <t>Calculate Quantities for Rock Chute</t>
  </si>
  <si>
    <t>Length @ Rock CL</t>
  </si>
  <si>
    <t>Length @ Bed CL</t>
  </si>
  <si>
    <t>Length @ Bot. Rock</t>
  </si>
  <si>
    <t>Bedding Thickness</t>
  </si>
  <si>
    <r>
      <t>Note</t>
    </r>
    <r>
      <rPr>
        <sz val="11"/>
        <rFont val="Arial"/>
        <family val="2"/>
      </rPr>
      <t>: 1) The radius is not considered when calculating</t>
    </r>
  </si>
  <si>
    <t xml:space="preserve">              quantities of riprap, bedding, or geotextile.</t>
  </si>
  <si>
    <t xml:space="preserve">          2) The geotextile quantity does not include over-</t>
  </si>
  <si>
    <t xml:space="preserve">              overlapping (18-in. min.) or anchoring material</t>
  </si>
  <si>
    <r>
      <t>y</t>
    </r>
    <r>
      <rPr>
        <b/>
        <vertAlign val="subscript"/>
        <sz val="11"/>
        <rFont val="Arial"/>
        <family val="2"/>
      </rPr>
      <t>n</t>
    </r>
    <r>
      <rPr>
        <b/>
        <sz val="11"/>
        <rFont val="Arial"/>
        <family val="2"/>
      </rPr>
      <t xml:space="preserve"> =</t>
    </r>
  </si>
  <si>
    <r>
      <t>Area</t>
    </r>
    <r>
      <rPr>
        <sz val="11"/>
        <rFont val="Arial"/>
        <family val="2"/>
      </rPr>
      <t xml:space="preserve"> =</t>
    </r>
  </si>
  <si>
    <r>
      <t>Q</t>
    </r>
    <r>
      <rPr>
        <vertAlign val="subscript"/>
        <sz val="11"/>
        <rFont val="Arial"/>
        <family val="2"/>
      </rPr>
      <t>high</t>
    </r>
    <r>
      <rPr>
        <sz val="11"/>
        <rFont val="Arial"/>
        <family val="2"/>
      </rPr>
      <t xml:space="preserve"> =</t>
    </r>
  </si>
  <si>
    <r>
      <t xml:space="preserve">Area </t>
    </r>
    <r>
      <rPr>
        <sz val="11"/>
        <rFont val="Arial"/>
        <family val="2"/>
      </rPr>
      <t xml:space="preserve"> =</t>
    </r>
  </si>
  <si>
    <r>
      <t>Q</t>
    </r>
    <r>
      <rPr>
        <vertAlign val="subscript"/>
        <sz val="11"/>
        <rFont val="Arial"/>
        <family val="2"/>
      </rPr>
      <t>low</t>
    </r>
    <r>
      <rPr>
        <sz val="11"/>
        <rFont val="Arial"/>
        <family val="2"/>
      </rPr>
      <t xml:space="preserve"> </t>
    </r>
    <r>
      <rPr>
        <sz val="11"/>
        <rFont val="Arial"/>
        <family val="2"/>
      </rPr>
      <t xml:space="preserve"> =</t>
    </r>
  </si>
  <si>
    <t xml:space="preserve">    (Normal depth)</t>
  </si>
  <si>
    <t xml:space="preserve">    (Flow area in channel)</t>
  </si>
  <si>
    <t xml:space="preserve">    (Capacity in channel)</t>
  </si>
  <si>
    <r>
      <t>y</t>
    </r>
    <r>
      <rPr>
        <b/>
        <vertAlign val="subscript"/>
        <sz val="11"/>
        <rFont val="Arial"/>
        <family val="2"/>
      </rPr>
      <t>c</t>
    </r>
    <r>
      <rPr>
        <b/>
        <sz val="11"/>
        <rFont val="Arial"/>
        <family val="2"/>
      </rPr>
      <t xml:space="preserve"> =</t>
    </r>
  </si>
  <si>
    <r>
      <t>Q</t>
    </r>
    <r>
      <rPr>
        <vertAlign val="subscript"/>
        <sz val="11"/>
        <rFont val="Arial"/>
        <family val="2"/>
      </rPr>
      <t>low</t>
    </r>
    <r>
      <rPr>
        <sz val="11"/>
        <rFont val="Arial"/>
        <family val="2"/>
      </rPr>
      <t xml:space="preserve"> =</t>
    </r>
  </si>
  <si>
    <r>
      <t>H</t>
    </r>
    <r>
      <rPr>
        <vertAlign val="subscript"/>
        <sz val="11"/>
        <rFont val="Arial"/>
        <family val="2"/>
      </rPr>
      <t>ce</t>
    </r>
    <r>
      <rPr>
        <sz val="11"/>
        <rFont val="Arial"/>
        <family val="2"/>
      </rPr>
      <t xml:space="preserve"> =</t>
    </r>
  </si>
  <si>
    <r>
      <t>h</t>
    </r>
    <r>
      <rPr>
        <vertAlign val="subscript"/>
        <sz val="11"/>
        <rFont val="Arial"/>
        <family val="2"/>
      </rPr>
      <t>cv</t>
    </r>
    <r>
      <rPr>
        <sz val="11"/>
        <rFont val="Arial"/>
        <family val="2"/>
      </rPr>
      <t xml:space="preserve"> =</t>
    </r>
  </si>
  <si>
    <r>
      <t>10y</t>
    </r>
    <r>
      <rPr>
        <b/>
        <vertAlign val="subscript"/>
        <sz val="11"/>
        <rFont val="Arial"/>
        <family val="2"/>
      </rPr>
      <t>c</t>
    </r>
    <r>
      <rPr>
        <b/>
        <sz val="11"/>
        <rFont val="Arial"/>
        <family val="2"/>
      </rPr>
      <t xml:space="preserve"> =</t>
    </r>
  </si>
  <si>
    <r>
      <t>0.715y</t>
    </r>
    <r>
      <rPr>
        <b/>
        <vertAlign val="subscript"/>
        <sz val="11"/>
        <rFont val="Arial"/>
        <family val="2"/>
      </rPr>
      <t>c</t>
    </r>
    <r>
      <rPr>
        <b/>
        <sz val="11"/>
        <rFont val="Arial"/>
        <family val="2"/>
      </rPr>
      <t xml:space="preserve"> =</t>
    </r>
  </si>
  <si>
    <t>Tw =</t>
  </si>
  <si>
    <r>
      <t>H</t>
    </r>
    <r>
      <rPr>
        <vertAlign val="subscript"/>
        <sz val="11"/>
        <rFont val="Arial"/>
        <family val="2"/>
      </rPr>
      <t>2</t>
    </r>
    <r>
      <rPr>
        <sz val="11"/>
        <rFont val="Arial"/>
        <family val="2"/>
      </rPr>
      <t xml:space="preserve"> =</t>
    </r>
  </si>
  <si>
    <r>
      <t>Q</t>
    </r>
    <r>
      <rPr>
        <vertAlign val="subscript"/>
        <sz val="11"/>
        <rFont val="Arial"/>
        <family val="2"/>
      </rPr>
      <t>high</t>
    </r>
    <r>
      <rPr>
        <sz val="11"/>
        <rFont val="Arial"/>
        <family val="2"/>
      </rPr>
      <t xml:space="preserve"> </t>
    </r>
    <r>
      <rPr>
        <sz val="11"/>
        <rFont val="Arial"/>
        <family val="2"/>
      </rPr>
      <t>=</t>
    </r>
  </si>
  <si>
    <r>
      <t>Q</t>
    </r>
    <r>
      <rPr>
        <vertAlign val="subscript"/>
        <sz val="11"/>
        <rFont val="Arial"/>
        <family val="2"/>
      </rPr>
      <t>low</t>
    </r>
    <r>
      <rPr>
        <sz val="11"/>
        <rFont val="Arial"/>
        <family val="2"/>
      </rPr>
      <t xml:space="preserve"> </t>
    </r>
    <r>
      <rPr>
        <sz val="11"/>
        <rFont val="Arial"/>
        <family val="2"/>
      </rPr>
      <t>=</t>
    </r>
  </si>
  <si>
    <t xml:space="preserve">    (Critical depth in chute)</t>
  </si>
  <si>
    <t xml:space="preserve">    (Total minimum specific energy head)</t>
  </si>
  <si>
    <r>
      <t xml:space="preserve">    (Velocity head corresponding to y</t>
    </r>
    <r>
      <rPr>
        <vertAlign val="subscript"/>
        <sz val="11"/>
        <rFont val="Arial"/>
        <family val="2"/>
      </rPr>
      <t>c</t>
    </r>
    <r>
      <rPr>
        <sz val="11"/>
        <rFont val="Arial"/>
        <family val="2"/>
      </rPr>
      <t>)</t>
    </r>
  </si>
  <si>
    <t xml:space="preserve">    (Required inlet apron length)</t>
  </si>
  <si>
    <t xml:space="preserve">    (Depth of flow over the weir crest or brink)</t>
  </si>
  <si>
    <t xml:space="preserve">    (Tailwater depth)</t>
  </si>
  <si>
    <t xml:space="preserve">    (Downstream head above weir crest,</t>
  </si>
  <si>
    <r>
      <t xml:space="preserve">      H</t>
    </r>
    <r>
      <rPr>
        <vertAlign val="subscript"/>
        <sz val="11"/>
        <rFont val="Arial"/>
        <family val="2"/>
      </rPr>
      <t>2</t>
    </r>
    <r>
      <rPr>
        <sz val="11"/>
        <rFont val="Arial"/>
        <family val="2"/>
      </rPr>
      <t xml:space="preserve"> = 0, if H</t>
    </r>
    <r>
      <rPr>
        <vertAlign val="subscript"/>
        <sz val="11"/>
        <rFont val="Arial"/>
        <family val="2"/>
      </rPr>
      <t>2</t>
    </r>
    <r>
      <rPr>
        <sz val="11"/>
        <rFont val="Arial"/>
        <family val="2"/>
      </rPr>
      <t xml:space="preserve"> &lt; 0.715*y</t>
    </r>
    <r>
      <rPr>
        <vertAlign val="subscript"/>
        <sz val="11"/>
        <rFont val="Arial"/>
        <family val="2"/>
      </rPr>
      <t>c</t>
    </r>
    <r>
      <rPr>
        <sz val="11"/>
        <rFont val="Arial"/>
        <family val="2"/>
      </rPr>
      <t>)</t>
    </r>
  </si>
  <si>
    <r>
      <t>H</t>
    </r>
    <r>
      <rPr>
        <b/>
        <vertAlign val="subscript"/>
        <sz val="11"/>
        <rFont val="Arial"/>
        <family val="2"/>
      </rPr>
      <t>p</t>
    </r>
    <r>
      <rPr>
        <b/>
        <sz val="11"/>
        <rFont val="Arial"/>
        <family val="2"/>
      </rPr>
      <t xml:space="preserve"> =</t>
    </r>
  </si>
  <si>
    <t>Area =</t>
  </si>
  <si>
    <r>
      <t>V</t>
    </r>
    <r>
      <rPr>
        <b/>
        <vertAlign val="subscript"/>
        <sz val="11"/>
        <rFont val="Arial"/>
        <family val="2"/>
      </rPr>
      <t>o</t>
    </r>
    <r>
      <rPr>
        <b/>
        <sz val="11"/>
        <rFont val="Arial"/>
        <family val="2"/>
      </rPr>
      <t xml:space="preserve"> =</t>
    </r>
  </si>
  <si>
    <r>
      <t>V</t>
    </r>
    <r>
      <rPr>
        <b/>
        <vertAlign val="subscript"/>
        <sz val="11"/>
        <rFont val="Arial"/>
        <family val="2"/>
      </rPr>
      <t xml:space="preserve">o </t>
    </r>
    <r>
      <rPr>
        <b/>
        <sz val="11"/>
        <rFont val="Arial"/>
        <family val="2"/>
      </rPr>
      <t xml:space="preserve"> =</t>
    </r>
  </si>
  <si>
    <r>
      <t>q</t>
    </r>
    <r>
      <rPr>
        <vertAlign val="subscript"/>
        <sz val="11"/>
        <rFont val="Arial"/>
        <family val="2"/>
      </rPr>
      <t>t</t>
    </r>
    <r>
      <rPr>
        <sz val="11"/>
        <rFont val="Arial"/>
        <family val="2"/>
      </rPr>
      <t xml:space="preserve"> =</t>
    </r>
  </si>
  <si>
    <r>
      <t>D</t>
    </r>
    <r>
      <rPr>
        <vertAlign val="subscript"/>
        <sz val="11"/>
        <rFont val="Arial"/>
        <family val="2"/>
      </rPr>
      <t>50</t>
    </r>
    <r>
      <rPr>
        <sz val="11"/>
        <rFont val="Arial"/>
        <family val="2"/>
      </rPr>
      <t xml:space="preserve"> =</t>
    </r>
  </si>
  <si>
    <r>
      <t>A</t>
    </r>
    <r>
      <rPr>
        <vertAlign val="subscript"/>
        <sz val="11"/>
        <rFont val="Arial"/>
        <family val="2"/>
      </rPr>
      <t>1</t>
    </r>
    <r>
      <rPr>
        <sz val="11"/>
        <rFont val="Arial"/>
        <family val="2"/>
      </rPr>
      <t xml:space="preserve"> =</t>
    </r>
  </si>
  <si>
    <t>Velocity =</t>
  </si>
  <si>
    <r>
      <t>z</t>
    </r>
    <r>
      <rPr>
        <vertAlign val="subscript"/>
        <sz val="11"/>
        <rFont val="Arial"/>
        <family val="2"/>
      </rPr>
      <t>mean</t>
    </r>
    <r>
      <rPr>
        <sz val="11"/>
        <rFont val="Arial"/>
        <family val="2"/>
      </rPr>
      <t xml:space="preserve"> =</t>
    </r>
  </si>
  <si>
    <t xml:space="preserve">      (Manning's roughness coefficient)</t>
  </si>
  <si>
    <t xml:space="preserve">      (Normal depth in the chute)</t>
  </si>
  <si>
    <t xml:space="preserve">      (Area associated with normal depth)</t>
  </si>
  <si>
    <t xml:space="preserve">      (Velocity in chute slope)</t>
  </si>
  <si>
    <t xml:space="preserve">      (Mean depth)</t>
  </si>
  <si>
    <r>
      <t xml:space="preserve">      (Length of rock outlet apron = 15*D</t>
    </r>
    <r>
      <rPr>
        <vertAlign val="subscript"/>
        <sz val="11"/>
        <rFont val="Arial"/>
        <family val="2"/>
      </rPr>
      <t>50</t>
    </r>
    <r>
      <rPr>
        <sz val="11"/>
        <rFont val="Arial"/>
        <family val="2"/>
      </rPr>
      <t>)</t>
    </r>
  </si>
  <si>
    <r>
      <t>L</t>
    </r>
    <r>
      <rPr>
        <vertAlign val="subscript"/>
        <sz val="11"/>
        <rFont val="Arial"/>
        <family val="2"/>
      </rPr>
      <t>rock apron</t>
    </r>
    <r>
      <rPr>
        <sz val="11"/>
        <rFont val="Arial"/>
        <family val="2"/>
      </rPr>
      <t xml:space="preserve"> =</t>
    </r>
  </si>
  <si>
    <r>
      <t>A</t>
    </r>
    <r>
      <rPr>
        <vertAlign val="subscript"/>
        <sz val="11"/>
        <rFont val="Arial"/>
        <family val="2"/>
      </rPr>
      <t xml:space="preserve">1 </t>
    </r>
    <r>
      <rPr>
        <sz val="11"/>
        <rFont val="Arial"/>
        <family val="2"/>
      </rPr>
      <t>=</t>
    </r>
  </si>
  <si>
    <r>
      <t>z</t>
    </r>
    <r>
      <rPr>
        <b/>
        <vertAlign val="subscript"/>
        <sz val="11"/>
        <rFont val="Arial"/>
        <family val="2"/>
      </rPr>
      <t>2</t>
    </r>
    <r>
      <rPr>
        <b/>
        <sz val="11"/>
        <rFont val="Arial"/>
        <family val="2"/>
      </rPr>
      <t xml:space="preserve"> =</t>
    </r>
  </si>
  <si>
    <r>
      <t>A</t>
    </r>
    <r>
      <rPr>
        <vertAlign val="subscript"/>
        <sz val="11"/>
        <rFont val="Arial"/>
        <family val="2"/>
      </rPr>
      <t>2</t>
    </r>
    <r>
      <rPr>
        <sz val="11"/>
        <rFont val="Arial"/>
        <family val="2"/>
      </rPr>
      <t xml:space="preserve"> =</t>
    </r>
  </si>
  <si>
    <t xml:space="preserve">     (Capacity in channel)</t>
  </si>
  <si>
    <t xml:space="preserve">     (Flow area in channel)</t>
  </si>
  <si>
    <r>
      <t xml:space="preserve">    (Total energy </t>
    </r>
    <r>
      <rPr>
        <u val="single"/>
        <sz val="11"/>
        <rFont val="Arial"/>
        <family val="2"/>
      </rPr>
      <t>before</t>
    </r>
    <r>
      <rPr>
        <sz val="11"/>
        <rFont val="Arial"/>
        <family val="2"/>
      </rPr>
      <t xml:space="preserve"> the jump)</t>
    </r>
  </si>
  <si>
    <r>
      <t>E</t>
    </r>
    <r>
      <rPr>
        <vertAlign val="subscript"/>
        <sz val="11"/>
        <rFont val="Arial"/>
        <family val="2"/>
      </rPr>
      <t>1</t>
    </r>
    <r>
      <rPr>
        <sz val="11"/>
        <rFont val="Arial"/>
        <family val="2"/>
      </rPr>
      <t xml:space="preserve"> =</t>
    </r>
  </si>
  <si>
    <r>
      <t>E</t>
    </r>
    <r>
      <rPr>
        <vertAlign val="subscript"/>
        <sz val="11"/>
        <rFont val="Arial"/>
        <family val="2"/>
      </rPr>
      <t>2</t>
    </r>
    <r>
      <rPr>
        <sz val="11"/>
        <rFont val="Arial"/>
        <family val="2"/>
      </rPr>
      <t xml:space="preserve"> =</t>
    </r>
  </si>
  <si>
    <r>
      <t>R</t>
    </r>
    <r>
      <rPr>
        <vertAlign val="subscript"/>
        <sz val="11"/>
        <rFont val="Arial"/>
        <family val="2"/>
      </rPr>
      <t>E</t>
    </r>
    <r>
      <rPr>
        <sz val="11"/>
        <rFont val="Arial"/>
        <family val="2"/>
      </rPr>
      <t xml:space="preserve"> =</t>
    </r>
  </si>
  <si>
    <r>
      <t>t</t>
    </r>
    <r>
      <rPr>
        <vertAlign val="subscript"/>
        <sz val="11"/>
        <color indexed="8"/>
        <rFont val="Arial"/>
        <family val="2"/>
      </rPr>
      <t>1</t>
    </r>
    <r>
      <rPr>
        <sz val="11"/>
        <color indexed="8"/>
        <rFont val="Arial"/>
        <family val="2"/>
      </rPr>
      <t>, t</t>
    </r>
    <r>
      <rPr>
        <vertAlign val="subscript"/>
        <sz val="11"/>
        <color indexed="8"/>
        <rFont val="Arial"/>
        <family val="2"/>
      </rPr>
      <t>2</t>
    </r>
    <r>
      <rPr>
        <sz val="11"/>
        <color indexed="8"/>
        <rFont val="Arial"/>
        <family val="2"/>
      </rPr>
      <t xml:space="preserve">  = </t>
    </r>
  </si>
  <si>
    <t xml:space="preserve">             (Equivalent unit discharge)</t>
  </si>
  <si>
    <r>
      <t xml:space="preserve">             (Median </t>
    </r>
    <r>
      <rPr>
        <b/>
        <i/>
        <u val="single"/>
        <sz val="11"/>
        <rFont val="Arial"/>
        <family val="2"/>
      </rPr>
      <t>angular</t>
    </r>
    <r>
      <rPr>
        <sz val="11"/>
        <rFont val="Arial"/>
        <family val="2"/>
      </rPr>
      <t xml:space="preserve"> rock size)</t>
    </r>
  </si>
  <si>
    <t xml:space="preserve">    (Relative loss of energy)</t>
  </si>
  <si>
    <t xml:space="preserve">              (18-in. min. along sides, 24-in. min. on ends).</t>
  </si>
  <si>
    <t>Bw (ft.) =</t>
  </si>
  <si>
    <t>m =</t>
  </si>
  <si>
    <t>d (ft.) =</t>
  </si>
  <si>
    <t>y (ft.) =</t>
  </si>
  <si>
    <t>Glossary</t>
  </si>
  <si>
    <t>Tw+d (ft.) =</t>
  </si>
  <si>
    <r>
      <t>Q</t>
    </r>
    <r>
      <rPr>
        <i/>
        <vertAlign val="subscript"/>
        <sz val="11"/>
        <rFont val="Arial"/>
        <family val="2"/>
      </rPr>
      <t xml:space="preserve">high </t>
    </r>
    <r>
      <rPr>
        <i/>
        <sz val="11"/>
        <rFont val="Arial"/>
        <family val="2"/>
      </rPr>
      <t>(cfs)</t>
    </r>
    <r>
      <rPr>
        <i/>
        <vertAlign val="subscript"/>
        <sz val="11"/>
        <rFont val="Arial"/>
        <family val="2"/>
      </rPr>
      <t xml:space="preserve"> </t>
    </r>
    <r>
      <rPr>
        <i/>
        <sz val="11"/>
        <rFont val="Arial"/>
        <family val="2"/>
      </rPr>
      <t>=</t>
    </r>
  </si>
  <si>
    <t>Factor of safety (multiplier)</t>
  </si>
  <si>
    <t>Outlet apron depth, d =</t>
  </si>
  <si>
    <r>
      <t>1) Output given as</t>
    </r>
    <r>
      <rPr>
        <b/>
        <i/>
        <sz val="11"/>
        <color indexed="14"/>
        <rFont val="Arial"/>
        <family val="2"/>
      </rPr>
      <t xml:space="preserve"> High Flow (Low Flow)</t>
    </r>
    <r>
      <rPr>
        <sz val="11"/>
        <rFont val="Arial"/>
        <family val="2"/>
      </rPr>
      <t xml:space="preserve"> values.</t>
    </r>
  </si>
  <si>
    <r>
      <t>3) Critical depth occurs 2y</t>
    </r>
    <r>
      <rPr>
        <vertAlign val="subscript"/>
        <sz val="11"/>
        <rFont val="Arial"/>
        <family val="2"/>
      </rPr>
      <t>c</t>
    </r>
    <r>
      <rPr>
        <sz val="11"/>
        <rFont val="Arial"/>
        <family val="2"/>
      </rPr>
      <t xml:space="preserve"> - 4y</t>
    </r>
    <r>
      <rPr>
        <vertAlign val="subscript"/>
        <sz val="11"/>
        <rFont val="Arial"/>
        <family val="2"/>
      </rPr>
      <t>c</t>
    </r>
    <r>
      <rPr>
        <sz val="11"/>
        <rFont val="Arial"/>
        <family val="2"/>
      </rPr>
      <t xml:space="preserve"> upstream of crest.</t>
    </r>
  </si>
  <si>
    <r>
      <t>Notes</t>
    </r>
    <r>
      <rPr>
        <sz val="11"/>
        <rFont val="Arial"/>
        <family val="2"/>
      </rPr>
      <t>:</t>
    </r>
  </si>
  <si>
    <t>function adequately</t>
  </si>
  <si>
    <r>
      <t xml:space="preserve">    (Total energy </t>
    </r>
    <r>
      <rPr>
        <u val="single"/>
        <sz val="11"/>
        <rFont val="Arial"/>
        <family val="2"/>
      </rPr>
      <t>after</t>
    </r>
    <r>
      <rPr>
        <sz val="11"/>
        <rFont val="Arial"/>
        <family val="2"/>
      </rPr>
      <t xml:space="preserve"> the jump)</t>
    </r>
  </si>
  <si>
    <r>
      <t xml:space="preserve">           </t>
    </r>
    <r>
      <rPr>
        <b/>
        <i/>
        <u val="single"/>
        <sz val="11"/>
        <rFont val="Arial"/>
        <family val="2"/>
      </rPr>
      <t>High Flow</t>
    </r>
  </si>
  <si>
    <r>
      <t xml:space="preserve">            </t>
    </r>
    <r>
      <rPr>
        <b/>
        <i/>
        <u val="single"/>
        <sz val="11"/>
        <rFont val="Arial"/>
        <family val="2"/>
      </rPr>
      <t>Low Flow</t>
    </r>
  </si>
  <si>
    <r>
      <t>**</t>
    </r>
    <r>
      <rPr>
        <b/>
        <i/>
        <u val="single"/>
        <sz val="12"/>
        <rFont val="Arial"/>
        <family val="2"/>
      </rPr>
      <t>Note</t>
    </r>
    <r>
      <rPr>
        <b/>
        <i/>
        <sz val="12"/>
        <rFont val="Arial"/>
        <family val="2"/>
      </rPr>
      <t>:  The outlet</t>
    </r>
  </si>
  <si>
    <t>flow at the base of chute slope.</t>
  </si>
  <si>
    <t>Approach velocity upstream of weir crest (trial and error procedure solving simultaneously for</t>
  </si>
  <si>
    <t xml:space="preserve">      (Froude number)</t>
  </si>
  <si>
    <t xml:space="preserve">     Input Channel Geometry</t>
  </si>
  <si>
    <t xml:space="preserve">     Profile and Cross Section (Output)</t>
  </si>
  <si>
    <r>
      <t xml:space="preserve">High flow storm </t>
    </r>
    <r>
      <rPr>
        <sz val="12"/>
        <color indexed="14"/>
        <rFont val="Arial"/>
        <family val="2"/>
      </rPr>
      <t>through chute</t>
    </r>
  </si>
  <si>
    <r>
      <t xml:space="preserve">Low flow storm </t>
    </r>
    <r>
      <rPr>
        <sz val="12"/>
        <color indexed="14"/>
        <rFont val="Arial"/>
        <family val="2"/>
      </rPr>
      <t>through chute</t>
    </r>
  </si>
  <si>
    <t>High flow storm</t>
  </si>
  <si>
    <t>Low flow storm</t>
  </si>
  <si>
    <t>High Flow Storm Information</t>
  </si>
  <si>
    <t>Sta.</t>
  </si>
  <si>
    <t>Description</t>
  </si>
  <si>
    <t>T</t>
  </si>
  <si>
    <t>I</t>
  </si>
  <si>
    <t>Point of intersection (PI)</t>
  </si>
  <si>
    <t>Point of curvature (PC)</t>
  </si>
  <si>
    <t>Point of tangency (PT)</t>
  </si>
  <si>
    <t>Elev. (Pnt)</t>
  </si>
  <si>
    <r>
      <t>Quantities</t>
    </r>
    <r>
      <rPr>
        <b/>
        <i/>
        <vertAlign val="superscript"/>
        <sz val="12"/>
        <rFont val="Arial"/>
        <family val="2"/>
      </rPr>
      <t>a</t>
    </r>
  </si>
  <si>
    <r>
      <t xml:space="preserve">   Height, z</t>
    </r>
    <r>
      <rPr>
        <vertAlign val="subscript"/>
        <sz val="11"/>
        <rFont val="Arial"/>
        <family val="2"/>
      </rPr>
      <t xml:space="preserve">2 </t>
    </r>
    <r>
      <rPr>
        <sz val="11"/>
        <rFont val="Arial"/>
        <family val="2"/>
      </rPr>
      <t>=</t>
    </r>
  </si>
  <si>
    <t>Hydraulic jump height</t>
  </si>
  <si>
    <t>VI. Calculate the height of hydraulic jump height (conjugate depth)</t>
  </si>
  <si>
    <t xml:space="preserve">     (Hydraulic jump height)</t>
  </si>
  <si>
    <t xml:space="preserve">     hydraulic jump height for the chute to function.</t>
  </si>
  <si>
    <t>Area of flow corresponding to the hydraulic jump height in the chute.</t>
  </si>
  <si>
    <r>
      <t xml:space="preserve">2) Tailwater depth plus </t>
    </r>
    <r>
      <rPr>
        <u val="single"/>
        <sz val="11"/>
        <rFont val="Arial"/>
        <family val="2"/>
      </rPr>
      <t>d</t>
    </r>
    <r>
      <rPr>
        <sz val="11"/>
        <rFont val="Arial"/>
        <family val="2"/>
      </rPr>
      <t xml:space="preserve"> must be at or above the </t>
    </r>
  </si>
  <si>
    <r>
      <t xml:space="preserve"> a</t>
    </r>
    <r>
      <rPr>
        <i/>
        <sz val="12"/>
        <rFont val="Arial"/>
        <family val="2"/>
      </rPr>
      <t xml:space="preserve"> Rock, bedding, and geotextile quantities are determined from x-section below (neglect radius).</t>
    </r>
  </si>
  <si>
    <t>Point No.</t>
  </si>
  <si>
    <r>
      <t xml:space="preserve">    and 24-in. minimum on the ends) --- </t>
    </r>
    <r>
      <rPr>
        <i/>
        <u val="single"/>
        <sz val="12"/>
        <rFont val="Arial"/>
        <family val="2"/>
      </rPr>
      <t>quantity not included</t>
    </r>
    <r>
      <rPr>
        <i/>
        <sz val="12"/>
        <rFont val="Arial"/>
        <family val="2"/>
      </rPr>
      <t>.</t>
    </r>
  </si>
  <si>
    <t>0-3 in.</t>
  </si>
  <si>
    <t>3-5 in.</t>
  </si>
  <si>
    <t>5+ in.</t>
  </si>
  <si>
    <r>
      <t xml:space="preserve">       </t>
    </r>
    <r>
      <rPr>
        <b/>
        <i/>
        <u val="single"/>
        <sz val="12"/>
        <rFont val="Arial"/>
        <family val="2"/>
      </rPr>
      <t>Input tailwater (Tw)</t>
    </r>
    <r>
      <rPr>
        <i/>
        <sz val="12"/>
        <rFont val="Arial"/>
        <family val="2"/>
      </rPr>
      <t>:</t>
    </r>
  </si>
  <si>
    <t xml:space="preserve">        in combination with an auxiliary spillway.</t>
  </si>
  <si>
    <t xml:space="preserve">        through the chute (principal spillway) or </t>
  </si>
  <si>
    <r>
      <t xml:space="preserve">       </t>
    </r>
    <r>
      <rPr>
        <b/>
        <i/>
        <u val="single"/>
        <sz val="12"/>
        <rFont val="Arial"/>
        <family val="2"/>
      </rPr>
      <t>Note</t>
    </r>
    <r>
      <rPr>
        <i/>
        <sz val="12"/>
        <rFont val="Arial"/>
        <family val="2"/>
      </rPr>
      <t>:</t>
    </r>
    <r>
      <rPr>
        <sz val="12"/>
        <rFont val="Arial"/>
        <family val="2"/>
      </rPr>
      <t xml:space="preserve"> </t>
    </r>
    <r>
      <rPr>
        <i/>
        <sz val="12"/>
        <rFont val="Arial"/>
        <family val="2"/>
      </rPr>
      <t>The total required capacity is routed</t>
    </r>
  </si>
  <si>
    <r>
      <t>Coefficient of Uniformity, (D</t>
    </r>
    <r>
      <rPr>
        <i/>
        <vertAlign val="subscript"/>
        <sz val="12"/>
        <rFont val="Arial"/>
        <family val="2"/>
      </rPr>
      <t>60</t>
    </r>
    <r>
      <rPr>
        <i/>
        <sz val="12"/>
        <rFont val="Arial"/>
        <family val="2"/>
      </rPr>
      <t>)/(D</t>
    </r>
    <r>
      <rPr>
        <i/>
        <vertAlign val="subscript"/>
        <sz val="12"/>
        <rFont val="Arial"/>
        <family val="2"/>
      </rPr>
      <t>10</t>
    </r>
    <r>
      <rPr>
        <i/>
        <sz val="12"/>
        <rFont val="Arial"/>
        <family val="2"/>
      </rPr>
      <t>) &lt; 1.7</t>
    </r>
  </si>
  <si>
    <r>
      <t>Q</t>
    </r>
    <r>
      <rPr>
        <vertAlign val="subscript"/>
        <sz val="12"/>
        <rFont val="Arial"/>
        <family val="2"/>
      </rPr>
      <t>5</t>
    </r>
    <r>
      <rPr>
        <sz val="12"/>
        <rFont val="Arial"/>
        <family val="2"/>
      </rPr>
      <t xml:space="preserve"> =</t>
    </r>
  </si>
  <si>
    <r>
      <t>Q</t>
    </r>
    <r>
      <rPr>
        <i/>
        <vertAlign val="subscript"/>
        <sz val="11"/>
        <rFont val="Arial"/>
        <family val="2"/>
      </rPr>
      <t>5</t>
    </r>
    <r>
      <rPr>
        <i/>
        <sz val="11"/>
        <rFont val="Arial"/>
        <family val="2"/>
      </rPr>
      <t xml:space="preserve"> = Runofff from a 5-year,24-hour storm.</t>
    </r>
  </si>
  <si>
    <r>
      <t xml:space="preserve">          </t>
    </r>
    <r>
      <rPr>
        <b/>
        <i/>
        <u val="single"/>
        <sz val="12"/>
        <rFont val="Arial"/>
        <family val="2"/>
      </rPr>
      <t>Upstream Channel</t>
    </r>
  </si>
  <si>
    <t>Velocity n-value =</t>
  </si>
  <si>
    <t>Design Storm Data (Table 2, FOTG, WI-NRCS Grade Stabilization Structure No. 410):</t>
  </si>
  <si>
    <r>
      <t xml:space="preserve">         </t>
    </r>
    <r>
      <rPr>
        <b/>
        <i/>
        <u val="single"/>
        <sz val="12"/>
        <rFont val="Arial"/>
        <family val="2"/>
      </rPr>
      <t>Downstream Channel</t>
    </r>
  </si>
  <si>
    <r>
      <t>Velocity n-value</t>
    </r>
    <r>
      <rPr>
        <sz val="12"/>
        <rFont val="Arial"/>
        <family val="2"/>
      </rPr>
      <t xml:space="preserve"> =</t>
    </r>
  </si>
  <si>
    <t>Input Geometry:</t>
  </si>
  <si>
    <r>
      <t>Q</t>
    </r>
    <r>
      <rPr>
        <i/>
        <vertAlign val="subscript"/>
        <sz val="11"/>
        <rFont val="Arial"/>
        <family val="2"/>
      </rPr>
      <t>high</t>
    </r>
    <r>
      <rPr>
        <i/>
        <sz val="11"/>
        <rFont val="Arial"/>
        <family val="2"/>
      </rPr>
      <t xml:space="preserve"> = Runoff from design storm capacity from Table 2, FOTG Standard 410</t>
    </r>
  </si>
  <si>
    <t xml:space="preserve">    geotextile under rock.</t>
  </si>
  <si>
    <t>4) Use WI Const. Spec. 13, Class I non-woven</t>
  </si>
  <si>
    <t>Plan Values</t>
  </si>
  <si>
    <r>
      <t>Rock</t>
    </r>
    <r>
      <rPr>
        <vertAlign val="subscript"/>
        <sz val="8"/>
        <rFont val="Arial"/>
        <family val="2"/>
      </rPr>
      <t>chute</t>
    </r>
    <r>
      <rPr>
        <sz val="8"/>
        <rFont val="Arial"/>
        <family val="2"/>
      </rPr>
      <t xml:space="preserve"> thickness =</t>
    </r>
  </si>
  <si>
    <r>
      <t>Geotextile (WCS-13)</t>
    </r>
    <r>
      <rPr>
        <b/>
        <i/>
        <vertAlign val="superscript"/>
        <sz val="12"/>
        <rFont val="Arial"/>
        <family val="2"/>
      </rPr>
      <t>b</t>
    </r>
    <r>
      <rPr>
        <sz val="12"/>
        <rFont val="Arial"/>
        <family val="2"/>
      </rPr>
      <t xml:space="preserve"> =</t>
    </r>
  </si>
  <si>
    <t xml:space="preserve">Degree of angularity = </t>
  </si>
  <si>
    <t xml:space="preserve">Note: n value = a) velocity n from waterway program </t>
  </si>
  <si>
    <t xml:space="preserve">     or b) computed mannings n for channel</t>
  </si>
  <si>
    <t>Notes:</t>
  </si>
  <si>
    <t xml:space="preserve">     Design Storm Data (Table 2, WI, NRCS Grade Stabilization Structure No. 410)</t>
  </si>
  <si>
    <t>Your friendly engineering staff.</t>
  </si>
  <si>
    <t>Sample project</t>
  </si>
  <si>
    <t>sam</t>
  </si>
  <si>
    <t>anywhere</t>
  </si>
  <si>
    <t>The berm height above the top of rock in feet.  WI-NRCS standard 410 requires 0.5 feet.</t>
  </si>
  <si>
    <t>NRCS EFH chapter 6 Wisconsin Supplements for help.</t>
  </si>
  <si>
    <t>Normal depth in the middle 1/3 of the chute.</t>
  </si>
  <si>
    <t>Minimum Design D50*</t>
  </si>
  <si>
    <t>100% rounded rock</t>
  </si>
  <si>
    <t>100 % rounded</t>
  </si>
  <si>
    <t>50% angular,50% rounded</t>
  </si>
  <si>
    <t>50% angular, 50% rounded</t>
  </si>
  <si>
    <r>
      <t xml:space="preserve"> D</t>
    </r>
    <r>
      <rPr>
        <vertAlign val="subscript"/>
        <sz val="12"/>
        <rFont val="Arial"/>
        <family val="2"/>
      </rPr>
      <t>50</t>
    </r>
    <r>
      <rPr>
        <sz val="12"/>
        <rFont val="Arial"/>
        <family val="2"/>
      </rPr>
      <t xml:space="preserve"> dia. =</t>
    </r>
  </si>
  <si>
    <t>Rock =</t>
  </si>
  <si>
    <r>
      <t>D</t>
    </r>
    <r>
      <rPr>
        <vertAlign val="subscript"/>
        <sz val="12"/>
        <rFont val="Arial"/>
        <family val="2"/>
      </rPr>
      <t>50</t>
    </r>
    <r>
      <rPr>
        <sz val="12"/>
        <rFont val="Arial"/>
        <family val="2"/>
      </rPr>
      <t xml:space="preserve"> dia. =</t>
    </r>
  </si>
  <si>
    <t>DOT Heavy riprap Gradation</t>
  </si>
  <si>
    <t xml:space="preserve">Rock gradation envelope can be met with </t>
  </si>
  <si>
    <t>Gradation printed</t>
  </si>
  <si>
    <t xml:space="preserve"> </t>
  </si>
  <si>
    <t>r^4/3</t>
  </si>
  <si>
    <t xml:space="preserve"> Manning's n =</t>
  </si>
  <si>
    <t>r =</t>
  </si>
  <si>
    <t>Waterway depth =</t>
  </si>
  <si>
    <t>dm =</t>
  </si>
  <si>
    <t>W.W. slope ft/ft =</t>
  </si>
  <si>
    <t>Bottom width =</t>
  </si>
  <si>
    <t>Side Slopes =</t>
  </si>
  <si>
    <t>Slope in this range should be avoided</t>
  </si>
  <si>
    <t>ft/ft</t>
  </si>
  <si>
    <t>So=</t>
  </si>
  <si>
    <t>So&gt;Sc</t>
  </si>
  <si>
    <t>Critical Slope check upstream is</t>
  </si>
  <si>
    <t xml:space="preserve">Scupstreamchannel = </t>
  </si>
  <si>
    <t>Critical slope check for upstream channel</t>
  </si>
  <si>
    <t>Critical Slope check of upstream channel is</t>
  </si>
  <si>
    <r>
      <t>A</t>
    </r>
    <r>
      <rPr>
        <i/>
        <vertAlign val="subscript"/>
        <sz val="11"/>
        <rFont val="Arial"/>
        <family val="2"/>
      </rPr>
      <t>1</t>
    </r>
    <r>
      <rPr>
        <i/>
        <sz val="11"/>
        <rFont val="Arial"/>
        <family val="2"/>
      </rPr>
      <t xml:space="preserve"> (ft</t>
    </r>
    <r>
      <rPr>
        <i/>
        <vertAlign val="superscript"/>
        <sz val="11"/>
        <rFont val="Arial"/>
        <family val="2"/>
      </rPr>
      <t>2</t>
    </r>
    <r>
      <rPr>
        <i/>
        <sz val="11"/>
        <rFont val="Arial"/>
        <family val="2"/>
      </rPr>
      <t>) =</t>
    </r>
  </si>
  <si>
    <r>
      <t>A</t>
    </r>
    <r>
      <rPr>
        <i/>
        <vertAlign val="subscript"/>
        <sz val="11"/>
        <rFont val="Arial"/>
        <family val="2"/>
      </rPr>
      <t>2</t>
    </r>
    <r>
      <rPr>
        <i/>
        <sz val="11"/>
        <rFont val="Arial"/>
        <family val="2"/>
      </rPr>
      <t xml:space="preserve"> (ft</t>
    </r>
    <r>
      <rPr>
        <i/>
        <vertAlign val="superscript"/>
        <sz val="11"/>
        <rFont val="Arial"/>
        <family val="2"/>
      </rPr>
      <t>2</t>
    </r>
    <r>
      <rPr>
        <i/>
        <sz val="11"/>
        <rFont val="Arial"/>
        <family val="2"/>
      </rPr>
      <t>) =</t>
    </r>
  </si>
  <si>
    <r>
      <t xml:space="preserve">Lower the outlet apron a depth </t>
    </r>
    <r>
      <rPr>
        <i/>
        <u val="single"/>
        <sz val="11"/>
        <rFont val="Arial"/>
        <family val="2"/>
      </rPr>
      <t>d</t>
    </r>
    <r>
      <rPr>
        <i/>
        <sz val="11"/>
        <rFont val="Arial"/>
        <family val="2"/>
      </rPr>
      <t xml:space="preserve"> to submerge the hydraulic jump (1-ft. suggested minimum).</t>
    </r>
  </si>
  <si>
    <r>
      <t>D</t>
    </r>
    <r>
      <rPr>
        <i/>
        <vertAlign val="subscript"/>
        <sz val="11"/>
        <rFont val="Arial"/>
        <family val="2"/>
      </rPr>
      <t xml:space="preserve">50 </t>
    </r>
    <r>
      <rPr>
        <i/>
        <sz val="11"/>
        <rFont val="Arial"/>
        <family val="2"/>
      </rPr>
      <t>(ft.) =</t>
    </r>
  </si>
  <si>
    <r>
      <t xml:space="preserve">Median rock size (angular rock is stable at a unit discharge </t>
    </r>
    <r>
      <rPr>
        <i/>
        <u val="single"/>
        <sz val="11"/>
        <rFont val="Arial"/>
        <family val="2"/>
      </rPr>
      <t>approximately 40%</t>
    </r>
  </si>
  <si>
    <r>
      <t>E</t>
    </r>
    <r>
      <rPr>
        <i/>
        <vertAlign val="subscript"/>
        <sz val="11"/>
        <rFont val="Arial"/>
        <family val="2"/>
      </rPr>
      <t>1</t>
    </r>
    <r>
      <rPr>
        <i/>
        <sz val="11"/>
        <rFont val="Arial"/>
        <family val="2"/>
      </rPr>
      <t xml:space="preserve"> (ft.) =</t>
    </r>
  </si>
  <si>
    <r>
      <t>E</t>
    </r>
    <r>
      <rPr>
        <i/>
        <vertAlign val="subscript"/>
        <sz val="11"/>
        <rFont val="Arial"/>
        <family val="2"/>
      </rPr>
      <t xml:space="preserve">2 </t>
    </r>
    <r>
      <rPr>
        <i/>
        <sz val="11"/>
        <rFont val="Arial"/>
        <family val="2"/>
      </rPr>
      <t>(ft.) =</t>
    </r>
  </si>
  <si>
    <r>
      <t>F</t>
    </r>
    <r>
      <rPr>
        <i/>
        <vertAlign val="subscript"/>
        <sz val="11"/>
        <rFont val="Arial"/>
        <family val="2"/>
      </rPr>
      <t xml:space="preserve">1 </t>
    </r>
    <r>
      <rPr>
        <i/>
        <sz val="11"/>
        <rFont val="Arial"/>
        <family val="2"/>
      </rPr>
      <t>=</t>
    </r>
  </si>
  <si>
    <r>
      <t>F</t>
    </r>
    <r>
      <rPr>
        <i/>
        <vertAlign val="subscript"/>
        <sz val="11"/>
        <rFont val="Arial"/>
        <family val="2"/>
      </rPr>
      <t>s</t>
    </r>
    <r>
      <rPr>
        <i/>
        <sz val="11"/>
        <rFont val="Arial"/>
        <family val="2"/>
      </rPr>
      <t xml:space="preserve"> =</t>
    </r>
  </si>
  <si>
    <r>
      <t>H</t>
    </r>
    <r>
      <rPr>
        <i/>
        <vertAlign val="subscript"/>
        <sz val="11"/>
        <rFont val="Arial"/>
        <family val="2"/>
      </rPr>
      <t xml:space="preserve">2 </t>
    </r>
    <r>
      <rPr>
        <i/>
        <sz val="11"/>
        <rFont val="Arial"/>
        <family val="2"/>
      </rPr>
      <t>(ft.) =</t>
    </r>
  </si>
  <si>
    <r>
      <t>Downstream head above weir crest, affects weir flow if H</t>
    </r>
    <r>
      <rPr>
        <i/>
        <vertAlign val="subscript"/>
        <sz val="11"/>
        <rFont val="Arial"/>
        <family val="2"/>
      </rPr>
      <t>2</t>
    </r>
    <r>
      <rPr>
        <i/>
        <sz val="11"/>
        <rFont val="Arial"/>
        <family val="2"/>
      </rPr>
      <t xml:space="preserve"> is greater than 0.715y</t>
    </r>
    <r>
      <rPr>
        <i/>
        <vertAlign val="subscript"/>
        <sz val="11"/>
        <rFont val="Arial"/>
        <family val="2"/>
      </rPr>
      <t>c</t>
    </r>
    <r>
      <rPr>
        <i/>
        <sz val="11"/>
        <rFont val="Arial"/>
        <family val="2"/>
      </rPr>
      <t>= brink depth</t>
    </r>
  </si>
  <si>
    <r>
      <t>(When H</t>
    </r>
    <r>
      <rPr>
        <i/>
        <vertAlign val="subscript"/>
        <sz val="11"/>
        <rFont val="Arial"/>
        <family val="2"/>
      </rPr>
      <t>2</t>
    </r>
    <r>
      <rPr>
        <i/>
        <sz val="11"/>
        <rFont val="Arial"/>
        <family val="2"/>
      </rPr>
      <t>&gt;0.715y</t>
    </r>
    <r>
      <rPr>
        <i/>
        <vertAlign val="subscript"/>
        <sz val="11"/>
        <rFont val="Arial"/>
        <family val="2"/>
      </rPr>
      <t>c</t>
    </r>
    <r>
      <rPr>
        <i/>
        <sz val="11"/>
        <rFont val="Arial"/>
        <family val="2"/>
      </rPr>
      <t xml:space="preserve"> submerged weir flow exists and normal depth (z</t>
    </r>
    <r>
      <rPr>
        <i/>
        <vertAlign val="subscript"/>
        <sz val="11"/>
        <rFont val="Arial"/>
        <family val="2"/>
      </rPr>
      <t>1</t>
    </r>
    <r>
      <rPr>
        <i/>
        <sz val="11"/>
        <rFont val="Arial"/>
        <family val="2"/>
      </rPr>
      <t xml:space="preserve">) </t>
    </r>
    <r>
      <rPr>
        <i/>
        <u val="single"/>
        <sz val="11"/>
        <rFont val="Arial"/>
        <family val="2"/>
      </rPr>
      <t>will not</t>
    </r>
    <r>
      <rPr>
        <i/>
        <sz val="11"/>
        <rFont val="Arial"/>
        <family val="2"/>
      </rPr>
      <t xml:space="preserve"> occur in the</t>
    </r>
  </si>
  <si>
    <r>
      <t xml:space="preserve">chute slope, therefore the program </t>
    </r>
    <r>
      <rPr>
        <i/>
        <u val="single"/>
        <sz val="11"/>
        <rFont val="Arial"/>
        <family val="2"/>
      </rPr>
      <t>may</t>
    </r>
    <r>
      <rPr>
        <i/>
        <sz val="11"/>
        <rFont val="Arial"/>
        <family val="2"/>
      </rPr>
      <t xml:space="preserve"> over-estimate the D</t>
    </r>
    <r>
      <rPr>
        <i/>
        <vertAlign val="subscript"/>
        <sz val="11"/>
        <rFont val="Arial"/>
        <family val="2"/>
      </rPr>
      <t>50</t>
    </r>
    <r>
      <rPr>
        <i/>
        <sz val="11"/>
        <rFont val="Arial"/>
        <family val="2"/>
      </rPr>
      <t xml:space="preserve"> size for this condition).</t>
    </r>
  </si>
  <si>
    <r>
      <t>H</t>
    </r>
    <r>
      <rPr>
        <i/>
        <vertAlign val="subscript"/>
        <sz val="11"/>
        <rFont val="Arial"/>
        <family val="2"/>
      </rPr>
      <t xml:space="preserve">ce </t>
    </r>
    <r>
      <rPr>
        <i/>
        <sz val="11"/>
        <rFont val="Arial"/>
        <family val="2"/>
      </rPr>
      <t>(ft.) =</t>
    </r>
  </si>
  <si>
    <r>
      <t>h</t>
    </r>
    <r>
      <rPr>
        <i/>
        <vertAlign val="subscript"/>
        <sz val="11"/>
        <rFont val="Arial"/>
        <family val="2"/>
      </rPr>
      <t xml:space="preserve">cv </t>
    </r>
    <r>
      <rPr>
        <i/>
        <sz val="11"/>
        <rFont val="Arial"/>
        <family val="2"/>
      </rPr>
      <t>(ft.) =</t>
    </r>
  </si>
  <si>
    <r>
      <t>Velocity head (V</t>
    </r>
    <r>
      <rPr>
        <i/>
        <vertAlign val="superscript"/>
        <sz val="11"/>
        <rFont val="Arial"/>
        <family val="2"/>
      </rPr>
      <t>2</t>
    </r>
    <r>
      <rPr>
        <i/>
        <sz val="11"/>
        <rFont val="Arial"/>
        <family val="2"/>
      </rPr>
      <t>/2g) corresponding to velocity at critical depth.</t>
    </r>
  </si>
  <si>
    <r>
      <t>H</t>
    </r>
    <r>
      <rPr>
        <i/>
        <vertAlign val="subscript"/>
        <sz val="11"/>
        <rFont val="Arial"/>
        <family val="2"/>
      </rPr>
      <t>drop</t>
    </r>
    <r>
      <rPr>
        <i/>
        <sz val="11"/>
        <rFont val="Arial"/>
        <family val="2"/>
      </rPr>
      <t xml:space="preserve"> (ft.) =</t>
    </r>
  </si>
  <si>
    <r>
      <t>H</t>
    </r>
    <r>
      <rPr>
        <i/>
        <vertAlign val="subscript"/>
        <sz val="11"/>
        <rFont val="Arial"/>
        <family val="2"/>
      </rPr>
      <t>p</t>
    </r>
    <r>
      <rPr>
        <i/>
        <sz val="11"/>
        <rFont val="Arial"/>
        <family val="2"/>
      </rPr>
      <t xml:space="preserve"> (ft.) =</t>
    </r>
  </si>
  <si>
    <r>
      <t>H</t>
    </r>
    <r>
      <rPr>
        <i/>
        <vertAlign val="subscript"/>
        <sz val="11"/>
        <rFont val="Arial"/>
        <family val="2"/>
      </rPr>
      <t xml:space="preserve">pe </t>
    </r>
    <r>
      <rPr>
        <i/>
        <sz val="11"/>
        <rFont val="Arial"/>
        <family val="2"/>
      </rPr>
      <t>(ft.) =</t>
    </r>
  </si>
  <si>
    <r>
      <t>Total energy head (sum of H</t>
    </r>
    <r>
      <rPr>
        <i/>
        <vertAlign val="subscript"/>
        <sz val="11"/>
        <rFont val="Arial"/>
        <family val="2"/>
      </rPr>
      <t>p</t>
    </r>
    <r>
      <rPr>
        <i/>
        <sz val="11"/>
        <rFont val="Arial"/>
        <family val="2"/>
      </rPr>
      <t xml:space="preserve"> and the velocity head).</t>
    </r>
  </si>
  <si>
    <r>
      <t>h</t>
    </r>
    <r>
      <rPr>
        <i/>
        <vertAlign val="subscript"/>
        <sz val="11"/>
        <rFont val="Arial"/>
        <family val="2"/>
      </rPr>
      <t xml:space="preserve">pv </t>
    </r>
    <r>
      <rPr>
        <i/>
        <sz val="11"/>
        <rFont val="Arial"/>
        <family val="2"/>
      </rPr>
      <t>(ft.) =</t>
    </r>
  </si>
  <si>
    <r>
      <t>Velocity head (V</t>
    </r>
    <r>
      <rPr>
        <i/>
        <vertAlign val="superscript"/>
        <sz val="11"/>
        <rFont val="Arial"/>
        <family val="2"/>
      </rPr>
      <t>2</t>
    </r>
    <r>
      <rPr>
        <i/>
        <sz val="11"/>
        <rFont val="Arial"/>
        <family val="2"/>
      </rPr>
      <t>/2g) corresponding to velocity at depth H</t>
    </r>
    <r>
      <rPr>
        <i/>
        <vertAlign val="subscript"/>
        <sz val="11"/>
        <rFont val="Arial"/>
        <family val="2"/>
      </rPr>
      <t>p .</t>
    </r>
  </si>
  <si>
    <r>
      <t>q</t>
    </r>
    <r>
      <rPr>
        <i/>
        <vertAlign val="subscript"/>
        <sz val="11"/>
        <rFont val="Arial"/>
        <family val="2"/>
      </rPr>
      <t xml:space="preserve">t </t>
    </r>
    <r>
      <rPr>
        <i/>
        <sz val="11"/>
        <rFont val="Arial"/>
        <family val="2"/>
      </rPr>
      <t>(cfs/ft.)=</t>
    </r>
  </si>
  <si>
    <r>
      <t>R</t>
    </r>
    <r>
      <rPr>
        <i/>
        <vertAlign val="subscript"/>
        <sz val="11"/>
        <rFont val="Arial"/>
        <family val="2"/>
      </rPr>
      <t>E</t>
    </r>
    <r>
      <rPr>
        <i/>
        <sz val="11"/>
        <rFont val="Arial"/>
        <family val="2"/>
      </rPr>
      <t xml:space="preserve"> (%) =</t>
    </r>
  </si>
  <si>
    <r>
      <t>Relative loss of energy = (1-E</t>
    </r>
    <r>
      <rPr>
        <i/>
        <vertAlign val="subscript"/>
        <sz val="11"/>
        <rFont val="Arial"/>
        <family val="2"/>
      </rPr>
      <t>2</t>
    </r>
    <r>
      <rPr>
        <i/>
        <sz val="11"/>
        <rFont val="Arial"/>
        <family val="2"/>
      </rPr>
      <t>/E</t>
    </r>
    <r>
      <rPr>
        <i/>
        <vertAlign val="subscript"/>
        <sz val="11"/>
        <rFont val="Arial"/>
        <family val="2"/>
      </rPr>
      <t>1</t>
    </r>
    <r>
      <rPr>
        <i/>
        <sz val="11"/>
        <rFont val="Arial"/>
        <family val="2"/>
      </rPr>
      <t>)*100</t>
    </r>
    <r>
      <rPr>
        <i/>
        <vertAlign val="subscript"/>
        <sz val="11"/>
        <rFont val="Arial"/>
        <family val="2"/>
      </rPr>
      <t>.</t>
    </r>
  </si>
  <si>
    <r>
      <t xml:space="preserve">Tailwater depth above the outlet </t>
    </r>
    <r>
      <rPr>
        <i/>
        <u val="single"/>
        <sz val="11"/>
        <rFont val="Arial"/>
        <family val="2"/>
      </rPr>
      <t>channel</t>
    </r>
    <r>
      <rPr>
        <i/>
        <sz val="11"/>
        <rFont val="Arial"/>
        <family val="2"/>
      </rPr>
      <t xml:space="preserve"> (determined by Manning's equation </t>
    </r>
    <r>
      <rPr>
        <i/>
        <u val="single"/>
        <sz val="11"/>
        <rFont val="Arial"/>
        <family val="2"/>
      </rPr>
      <t>or</t>
    </r>
    <r>
      <rPr>
        <i/>
        <sz val="11"/>
        <rFont val="Arial"/>
        <family val="2"/>
      </rPr>
      <t xml:space="preserve"> input by user).</t>
    </r>
  </si>
  <si>
    <r>
      <t xml:space="preserve">Tailwater depth above the outlet </t>
    </r>
    <r>
      <rPr>
        <i/>
        <u val="single"/>
        <sz val="11"/>
        <rFont val="Arial"/>
        <family val="2"/>
      </rPr>
      <t>apron</t>
    </r>
    <r>
      <rPr>
        <i/>
        <sz val="11"/>
        <rFont val="Arial"/>
        <family val="2"/>
      </rPr>
      <t xml:space="preserve"> (must be greater than z</t>
    </r>
    <r>
      <rPr>
        <i/>
        <vertAlign val="subscript"/>
        <sz val="11"/>
        <rFont val="Arial"/>
        <family val="2"/>
      </rPr>
      <t>2</t>
    </r>
    <r>
      <rPr>
        <i/>
        <sz val="11"/>
        <rFont val="Arial"/>
        <family val="2"/>
      </rPr>
      <t>).</t>
    </r>
  </si>
  <si>
    <r>
      <t>V</t>
    </r>
    <r>
      <rPr>
        <i/>
        <vertAlign val="subscript"/>
        <sz val="11"/>
        <rFont val="Arial"/>
        <family val="2"/>
      </rPr>
      <t xml:space="preserve">o </t>
    </r>
    <r>
      <rPr>
        <i/>
        <sz val="11"/>
        <rFont val="Arial"/>
        <family val="2"/>
      </rPr>
      <t>(fps) =</t>
    </r>
  </si>
  <si>
    <r>
      <t>Height of riprap along the rock chute side slope, the greater of H</t>
    </r>
    <r>
      <rPr>
        <i/>
        <vertAlign val="subscript"/>
        <sz val="11"/>
        <rFont val="Arial"/>
        <family val="2"/>
      </rPr>
      <t>p</t>
    </r>
    <r>
      <rPr>
        <i/>
        <sz val="11"/>
        <rFont val="Arial"/>
        <family val="2"/>
      </rPr>
      <t xml:space="preserve"> or z</t>
    </r>
    <r>
      <rPr>
        <i/>
        <vertAlign val="subscript"/>
        <sz val="11"/>
        <rFont val="Arial"/>
        <family val="2"/>
      </rPr>
      <t>2.</t>
    </r>
  </si>
  <si>
    <r>
      <t>y</t>
    </r>
    <r>
      <rPr>
        <i/>
        <vertAlign val="subscript"/>
        <sz val="11"/>
        <rFont val="Arial"/>
        <family val="2"/>
      </rPr>
      <t>c</t>
    </r>
    <r>
      <rPr>
        <i/>
        <sz val="11"/>
        <rFont val="Arial"/>
        <family val="2"/>
      </rPr>
      <t xml:space="preserve"> (ft.) =</t>
    </r>
  </si>
  <si>
    <r>
      <t>Critical depth occurs 2y</t>
    </r>
    <r>
      <rPr>
        <i/>
        <vertAlign val="subscript"/>
        <sz val="11"/>
        <rFont val="Arial"/>
        <family val="2"/>
      </rPr>
      <t>c</t>
    </r>
    <r>
      <rPr>
        <i/>
        <sz val="11"/>
        <rFont val="Arial"/>
        <family val="2"/>
      </rPr>
      <t xml:space="preserve"> to 4y</t>
    </r>
    <r>
      <rPr>
        <i/>
        <vertAlign val="subscript"/>
        <sz val="11"/>
        <rFont val="Arial"/>
        <family val="2"/>
      </rPr>
      <t>c</t>
    </r>
    <r>
      <rPr>
        <i/>
        <sz val="11"/>
        <rFont val="Arial"/>
        <family val="2"/>
      </rPr>
      <t xml:space="preserve"> upstream of the rock chute crest (0.715y</t>
    </r>
    <r>
      <rPr>
        <i/>
        <vertAlign val="subscript"/>
        <sz val="11"/>
        <rFont val="Arial"/>
        <family val="2"/>
      </rPr>
      <t>c</t>
    </r>
    <r>
      <rPr>
        <i/>
        <sz val="11"/>
        <rFont val="Arial"/>
        <family val="2"/>
      </rPr>
      <t xml:space="preserve"> occurs at the crest).</t>
    </r>
  </si>
  <si>
    <r>
      <t>y</t>
    </r>
    <r>
      <rPr>
        <i/>
        <vertAlign val="subscript"/>
        <sz val="11"/>
        <rFont val="Arial"/>
        <family val="2"/>
      </rPr>
      <t>n</t>
    </r>
    <r>
      <rPr>
        <i/>
        <sz val="11"/>
        <rFont val="Arial"/>
        <family val="2"/>
      </rPr>
      <t xml:space="preserve"> (ft.) =</t>
    </r>
  </si>
  <si>
    <r>
      <t>continues upstream of the weir crest approximately 10y</t>
    </r>
    <r>
      <rPr>
        <i/>
        <vertAlign val="subscript"/>
        <sz val="11"/>
        <rFont val="Arial"/>
        <family val="2"/>
      </rPr>
      <t>c</t>
    </r>
    <r>
      <rPr>
        <i/>
        <sz val="11"/>
        <rFont val="Arial"/>
        <family val="2"/>
      </rPr>
      <t>).</t>
    </r>
  </si>
  <si>
    <r>
      <t>z</t>
    </r>
    <r>
      <rPr>
        <i/>
        <vertAlign val="subscript"/>
        <sz val="11"/>
        <rFont val="Arial"/>
        <family val="2"/>
      </rPr>
      <t>1</t>
    </r>
    <r>
      <rPr>
        <i/>
        <sz val="11"/>
        <rFont val="Arial"/>
        <family val="2"/>
      </rPr>
      <t xml:space="preserve"> (ft.) =</t>
    </r>
  </si>
  <si>
    <r>
      <t>z</t>
    </r>
    <r>
      <rPr>
        <i/>
        <vertAlign val="subscript"/>
        <sz val="11"/>
        <rFont val="Arial"/>
        <family val="2"/>
      </rPr>
      <t>2</t>
    </r>
    <r>
      <rPr>
        <i/>
        <sz val="11"/>
        <rFont val="Arial"/>
        <family val="2"/>
      </rPr>
      <t xml:space="preserve"> (ft.) =</t>
    </r>
  </si>
  <si>
    <r>
      <t xml:space="preserve">Conjugate depth or </t>
    </r>
    <r>
      <rPr>
        <i/>
        <u val="single"/>
        <sz val="11"/>
        <rFont val="Arial"/>
        <family val="2"/>
      </rPr>
      <t>hydraulic jump height</t>
    </r>
    <r>
      <rPr>
        <i/>
        <sz val="11"/>
        <rFont val="Arial"/>
        <family val="2"/>
      </rPr>
      <t xml:space="preserve"> due to the transition from supercritical to subcritical</t>
    </r>
  </si>
  <si>
    <r>
      <t>z</t>
    </r>
    <r>
      <rPr>
        <i/>
        <vertAlign val="subscript"/>
        <sz val="11"/>
        <rFont val="Arial"/>
        <family val="2"/>
      </rPr>
      <t>mean</t>
    </r>
    <r>
      <rPr>
        <i/>
        <sz val="11"/>
        <rFont val="Arial"/>
        <family val="2"/>
      </rPr>
      <t>(ft.) =</t>
    </r>
  </si>
  <si>
    <r>
      <t xml:space="preserve">Total energy </t>
    </r>
    <r>
      <rPr>
        <i/>
        <u val="single"/>
        <sz val="11"/>
        <rFont val="Arial"/>
        <family val="2"/>
      </rPr>
      <t>before</t>
    </r>
    <r>
      <rPr>
        <i/>
        <sz val="11"/>
        <rFont val="Arial"/>
        <family val="2"/>
      </rPr>
      <t xml:space="preserve"> the hydraulic jump.</t>
    </r>
  </si>
  <si>
    <r>
      <t xml:space="preserve">Total energy </t>
    </r>
    <r>
      <rPr>
        <i/>
        <u val="single"/>
        <sz val="11"/>
        <rFont val="Arial"/>
        <family val="2"/>
      </rPr>
      <t>after</t>
    </r>
    <r>
      <rPr>
        <i/>
        <sz val="11"/>
        <rFont val="Arial"/>
        <family val="2"/>
      </rPr>
      <t xml:space="preserve"> the hydraulic jump.</t>
    </r>
  </si>
  <si>
    <r>
      <t>Factor of safety (</t>
    </r>
    <r>
      <rPr>
        <i/>
        <u val="single"/>
        <sz val="11"/>
        <rFont val="Arial"/>
        <family val="2"/>
      </rPr>
      <t>multiplier</t>
    </r>
    <r>
      <rPr>
        <i/>
        <sz val="11"/>
        <rFont val="Arial"/>
        <family val="2"/>
      </rPr>
      <t>) applied to the median rock size, D</t>
    </r>
    <r>
      <rPr>
        <i/>
        <vertAlign val="subscript"/>
        <sz val="11"/>
        <rFont val="Arial"/>
        <family val="2"/>
      </rPr>
      <t xml:space="preserve">50. </t>
    </r>
    <r>
      <rPr>
        <i/>
        <sz val="11"/>
        <rFont val="Arial"/>
        <family val="2"/>
      </rPr>
      <t xml:space="preserve"> The designer may use </t>
    </r>
  </si>
  <si>
    <t>(The user shall make sure that tailwater depths are greater than or equal to the hydraulic jump height for high and low flow conditions).</t>
  </si>
  <si>
    <t>Glossary continued</t>
  </si>
  <si>
    <r>
      <t>A coefficient of uniformity  less than 1.7 (D</t>
    </r>
    <r>
      <rPr>
        <vertAlign val="subscript"/>
        <sz val="11"/>
        <rFont val="Arial"/>
        <family val="2"/>
      </rPr>
      <t>60</t>
    </r>
    <r>
      <rPr>
        <sz val="11"/>
        <rFont val="Arial"/>
        <family val="2"/>
      </rPr>
      <t>/D</t>
    </r>
    <r>
      <rPr>
        <vertAlign val="subscript"/>
        <sz val="11"/>
        <rFont val="Arial"/>
        <family val="2"/>
      </rPr>
      <t>10</t>
    </r>
    <r>
      <rPr>
        <sz val="11"/>
        <rFont val="Arial"/>
        <family val="2"/>
      </rPr>
      <t xml:space="preserve"> &lt; 1.7) was used to define the D</t>
    </r>
    <r>
      <rPr>
        <vertAlign val="subscript"/>
        <sz val="11"/>
        <rFont val="Arial"/>
        <family val="2"/>
      </rPr>
      <t>10</t>
    </r>
    <r>
      <rPr>
        <sz val="11"/>
        <rFont val="Arial"/>
        <family val="2"/>
      </rPr>
      <t xml:space="preserve"> size.   The remainder of the values  (D</t>
    </r>
    <r>
      <rPr>
        <vertAlign val="subscript"/>
        <sz val="11"/>
        <rFont val="Arial"/>
        <family val="2"/>
      </rPr>
      <t>100</t>
    </r>
    <r>
      <rPr>
        <sz val="11"/>
        <rFont val="Arial"/>
        <family val="2"/>
      </rPr>
      <t>, D</t>
    </r>
    <r>
      <rPr>
        <vertAlign val="subscript"/>
        <sz val="11"/>
        <rFont val="Arial"/>
        <family val="2"/>
      </rPr>
      <t>85</t>
    </r>
    <r>
      <rPr>
        <sz val="11"/>
        <rFont val="Arial"/>
        <family val="2"/>
      </rPr>
      <t>, and D</t>
    </r>
    <r>
      <rPr>
        <vertAlign val="subscript"/>
        <sz val="11"/>
        <rFont val="Arial"/>
        <family val="2"/>
      </rPr>
      <t>50</t>
    </r>
    <r>
      <rPr>
        <sz val="11"/>
        <rFont val="Arial"/>
        <family val="2"/>
      </rPr>
      <t xml:space="preserve">) came from MN TR-3, Loose Riprap Protection, July 1989, page 21, Table 2-2.   </t>
    </r>
  </si>
  <si>
    <r>
      <t xml:space="preserve">  </t>
    </r>
    <r>
      <rPr>
        <b/>
        <u val="single"/>
        <sz val="16"/>
        <rFont val="Arial"/>
        <family val="2"/>
      </rPr>
      <t>Instructions - Rock Chute Design Program</t>
    </r>
  </si>
  <si>
    <r>
      <t>Factor of Safety</t>
    </r>
    <r>
      <rPr>
        <sz val="11"/>
        <rFont val="Arial"/>
        <family val="2"/>
      </rPr>
      <t xml:space="preserve"> - The factor of safety (or multiplier, F</t>
    </r>
    <r>
      <rPr>
        <vertAlign val="subscript"/>
        <sz val="11"/>
        <rFont val="Arial"/>
        <family val="2"/>
      </rPr>
      <t>s</t>
    </r>
    <r>
      <rPr>
        <sz val="11"/>
        <rFont val="Arial"/>
        <family val="2"/>
      </rPr>
      <t>) is used to safeguard against possible undersizing of the rock chute's median rock size (D</t>
    </r>
    <r>
      <rPr>
        <vertAlign val="subscript"/>
        <sz val="11"/>
        <rFont val="Arial"/>
        <family val="2"/>
      </rPr>
      <t>50</t>
    </r>
    <r>
      <rPr>
        <sz val="11"/>
        <rFont val="Arial"/>
        <family val="2"/>
      </rPr>
      <t xml:space="preserve">).  </t>
    </r>
    <r>
      <rPr>
        <b/>
        <i/>
        <sz val="11"/>
        <rFont val="Arial"/>
        <family val="2"/>
      </rPr>
      <t>F</t>
    </r>
    <r>
      <rPr>
        <b/>
        <i/>
        <vertAlign val="subscript"/>
        <sz val="11"/>
        <rFont val="Arial"/>
        <family val="2"/>
      </rPr>
      <t>s</t>
    </r>
    <r>
      <rPr>
        <b/>
        <i/>
        <sz val="11"/>
        <rFont val="Arial"/>
        <family val="2"/>
      </rPr>
      <t xml:space="preserve"> adjusts the D</t>
    </r>
    <r>
      <rPr>
        <b/>
        <i/>
        <vertAlign val="subscript"/>
        <sz val="11"/>
        <rFont val="Arial"/>
        <family val="2"/>
      </rPr>
      <t>50</t>
    </r>
    <r>
      <rPr>
        <b/>
        <i/>
        <sz val="11"/>
        <rFont val="Arial"/>
        <family val="2"/>
      </rPr>
      <t xml:space="preserve"> rock size, the rock chute thickness, and the outlet apron length</t>
    </r>
    <r>
      <rPr>
        <sz val="11"/>
        <rFont val="Arial"/>
        <family val="2"/>
      </rPr>
      <t>.  The Iowa Design Staff also considered modifying (with F</t>
    </r>
    <r>
      <rPr>
        <vertAlign val="subscript"/>
        <sz val="11"/>
        <rFont val="Arial"/>
        <family val="2"/>
      </rPr>
      <t>s</t>
    </r>
    <r>
      <rPr>
        <sz val="11"/>
        <rFont val="Arial"/>
        <family val="2"/>
      </rPr>
      <t>) the unit discharge (cfs/ft.), Q</t>
    </r>
    <r>
      <rPr>
        <vertAlign val="subscript"/>
        <sz val="11"/>
        <rFont val="Arial"/>
        <family val="2"/>
      </rPr>
      <t>high</t>
    </r>
    <r>
      <rPr>
        <sz val="11"/>
        <rFont val="Arial"/>
        <family val="2"/>
      </rPr>
      <t>,  and the bed slope (hydraulic grade line) instead of the D</t>
    </r>
    <r>
      <rPr>
        <vertAlign val="subscript"/>
        <sz val="11"/>
        <rFont val="Arial"/>
        <family val="2"/>
      </rPr>
      <t>50</t>
    </r>
    <r>
      <rPr>
        <sz val="11"/>
        <rFont val="Arial"/>
        <family val="2"/>
      </rPr>
      <t>.  Applying a F</t>
    </r>
    <r>
      <rPr>
        <vertAlign val="subscript"/>
        <sz val="11"/>
        <rFont val="Arial"/>
        <family val="2"/>
      </rPr>
      <t>s</t>
    </r>
    <r>
      <rPr>
        <sz val="11"/>
        <rFont val="Arial"/>
        <family val="2"/>
      </rPr>
      <t xml:space="preserve"> to the D</t>
    </r>
    <r>
      <rPr>
        <vertAlign val="subscript"/>
        <sz val="11"/>
        <rFont val="Arial"/>
        <family val="2"/>
      </rPr>
      <t>50</t>
    </r>
    <r>
      <rPr>
        <sz val="11"/>
        <rFont val="Arial"/>
        <family val="2"/>
      </rPr>
      <t xml:space="preserve"> will give a more conservative (larger) median rock size than applying the same F</t>
    </r>
    <r>
      <rPr>
        <vertAlign val="subscript"/>
        <sz val="11"/>
        <rFont val="Arial"/>
        <family val="2"/>
      </rPr>
      <t>s</t>
    </r>
    <r>
      <rPr>
        <sz val="11"/>
        <rFont val="Arial"/>
        <family val="2"/>
      </rPr>
      <t xml:space="preserve"> to the other above mentioned parameters.   The user must decide what value of F</t>
    </r>
    <r>
      <rPr>
        <vertAlign val="subscript"/>
        <sz val="11"/>
        <rFont val="Arial"/>
        <family val="2"/>
      </rPr>
      <t>s</t>
    </r>
    <r>
      <rPr>
        <sz val="11"/>
        <rFont val="Arial"/>
        <family val="2"/>
      </rPr>
      <t xml:space="preserve"> to use.   See NRCS EFH Chapter 6 Wisconsin Supplements for guidance.</t>
    </r>
  </si>
  <si>
    <r>
      <t>Maximum values</t>
    </r>
    <r>
      <rPr>
        <b/>
        <sz val="11"/>
        <rFont val="Arial"/>
        <family val="2"/>
      </rPr>
      <t xml:space="preserve">  </t>
    </r>
    <r>
      <rPr>
        <sz val="11"/>
        <rFont val="Arial"/>
        <family val="2"/>
      </rPr>
      <t>(or limits) were not considered in the spreadsheet.  Only values that were outside the scope of the research were limited (chute bed slope and chute side slope).  Each designer should consider what limits or maximum values they want for various parameters. Refer to WI-NRCS Standard 410, Grade Stabilization Structure,  for design storm frequencies relating to drop and drainage area.</t>
    </r>
  </si>
  <si>
    <r>
      <t>The program has 2 sheets, (</t>
    </r>
    <r>
      <rPr>
        <sz val="11"/>
        <color indexed="14"/>
        <rFont val="Arial"/>
        <family val="2"/>
      </rPr>
      <t>Rock Chute Design Data</t>
    </r>
    <r>
      <rPr>
        <sz val="11"/>
        <rFont val="Arial"/>
        <family val="2"/>
      </rPr>
      <t xml:space="preserve"> and </t>
    </r>
    <r>
      <rPr>
        <sz val="11"/>
        <color indexed="14"/>
        <rFont val="Arial"/>
        <family val="2"/>
      </rPr>
      <t>Rock Chute Design - Plan Sheet</t>
    </r>
    <r>
      <rPr>
        <sz val="11"/>
        <rFont val="Arial"/>
        <family val="2"/>
      </rPr>
      <t>) that are available to the user by selecting the appropriate icon</t>
    </r>
    <r>
      <rPr>
        <sz val="11"/>
        <rFont val="Arial"/>
        <family val="2"/>
      </rPr>
      <t>.  They are described below.</t>
    </r>
  </si>
  <si>
    <r>
      <t>The</t>
    </r>
    <r>
      <rPr>
        <b/>
        <sz val="11"/>
        <color indexed="12"/>
        <rFont val="Arial"/>
        <family val="2"/>
      </rPr>
      <t xml:space="preserve"> Instructions</t>
    </r>
    <r>
      <rPr>
        <sz val="11"/>
        <rFont val="Arial"/>
        <family val="2"/>
      </rPr>
      <t xml:space="preserve"> button (in the upper right) switches the user to this page (select the </t>
    </r>
    <r>
      <rPr>
        <b/>
        <sz val="11"/>
        <color indexed="12"/>
        <rFont val="Arial"/>
        <family val="2"/>
      </rPr>
      <t>Back to Design</t>
    </r>
    <r>
      <rPr>
        <sz val="11"/>
        <rFont val="Arial"/>
        <family val="2"/>
      </rPr>
      <t xml:space="preserve"> button to return).  The </t>
    </r>
    <r>
      <rPr>
        <b/>
        <sz val="11"/>
        <color indexed="12"/>
        <rFont val="Arial"/>
        <family val="2"/>
      </rPr>
      <t>Plan Sheet</t>
    </r>
    <r>
      <rPr>
        <sz val="11"/>
        <rFont val="Arial"/>
        <family val="2"/>
      </rPr>
      <t xml:space="preserve"> button takes the user to the Profile, Cross Sections, and Quantities sheet (see below).  The </t>
    </r>
    <r>
      <rPr>
        <b/>
        <sz val="11"/>
        <color indexed="10"/>
        <rFont val="Arial"/>
        <family val="2"/>
      </rPr>
      <t>Solve Spreadsheet</t>
    </r>
    <r>
      <rPr>
        <sz val="11"/>
        <rFont val="Arial"/>
        <family val="2"/>
      </rPr>
      <t xml:space="preserve"> button (in the center of the sheet) must be selected after changing the design information.  The </t>
    </r>
    <r>
      <rPr>
        <b/>
        <sz val="11"/>
        <color indexed="10"/>
        <rFont val="Arial"/>
        <family val="2"/>
      </rPr>
      <t>Tailwater from Program</t>
    </r>
    <r>
      <rPr>
        <sz val="11"/>
        <rFont val="Arial"/>
        <family val="2"/>
      </rPr>
      <t xml:space="preserve"> button will enter the word "Program" in the tailwater cells (or the user may specify a tailwater by typing the value corresponding to high and low discharge).  There are three main areas in the Design Data sheet: </t>
    </r>
    <r>
      <rPr>
        <b/>
        <sz val="11"/>
        <rFont val="Arial"/>
        <family val="2"/>
      </rPr>
      <t>1)</t>
    </r>
    <r>
      <rPr>
        <sz val="11"/>
        <rFont val="Arial"/>
        <family val="2"/>
      </rPr>
      <t xml:space="preserve"> </t>
    </r>
    <r>
      <rPr>
        <b/>
        <sz val="11"/>
        <rFont val="Arial"/>
        <family val="2"/>
      </rPr>
      <t>Input Channel Geometry</t>
    </r>
    <r>
      <rPr>
        <sz val="11"/>
        <rFont val="Arial"/>
        <family val="2"/>
      </rPr>
      <t xml:space="preserve">, </t>
    </r>
    <r>
      <rPr>
        <b/>
        <sz val="11"/>
        <rFont val="Arial"/>
        <family val="2"/>
      </rPr>
      <t>2) Design Storm Data</t>
    </r>
    <r>
      <rPr>
        <sz val="11"/>
        <rFont val="Arial"/>
        <family val="2"/>
      </rPr>
      <t xml:space="preserve">, </t>
    </r>
    <r>
      <rPr>
        <b/>
        <sz val="11"/>
        <rFont val="Arial"/>
        <family val="2"/>
      </rPr>
      <t>3)</t>
    </r>
    <r>
      <rPr>
        <sz val="11"/>
        <rFont val="Arial"/>
        <family val="2"/>
      </rPr>
      <t xml:space="preserve"> </t>
    </r>
    <r>
      <rPr>
        <b/>
        <sz val="11"/>
        <rFont val="Arial"/>
        <family val="2"/>
      </rPr>
      <t>Profile and Cross Section (Output)</t>
    </r>
    <r>
      <rPr>
        <sz val="11"/>
        <rFont val="Arial"/>
        <family val="2"/>
      </rPr>
      <t xml:space="preserve">.  No print button is available on this sheet.  The user should refer to the Rock Chute Design - Plan Sheet for print buttons. </t>
    </r>
    <r>
      <rPr>
        <i/>
        <sz val="11"/>
        <rFont val="Arial"/>
        <family val="2"/>
      </rPr>
      <t xml:space="preserve">The user should not print with the print icons (standard icons) or menus in Excel, </t>
    </r>
    <r>
      <rPr>
        <b/>
        <i/>
        <u val="single"/>
        <sz val="11"/>
        <rFont val="Arial"/>
        <family val="2"/>
      </rPr>
      <t>not all the design information will print</t>
    </r>
    <r>
      <rPr>
        <i/>
        <sz val="11"/>
        <rFont val="Arial"/>
        <family val="2"/>
      </rPr>
      <t>.</t>
    </r>
  </si>
  <si>
    <r>
      <t xml:space="preserve">This is the major input area for setting channel geometry.  All red, italicized values and text can be entered (or changed) by the user.  The user should note the </t>
    </r>
    <r>
      <rPr>
        <b/>
        <sz val="11"/>
        <color indexed="10"/>
        <rFont val="Arial"/>
        <family val="2"/>
      </rPr>
      <t>Solve Spreadsheet</t>
    </r>
    <r>
      <rPr>
        <sz val="11"/>
        <rFont val="Arial"/>
        <family val="2"/>
      </rPr>
      <t xml:space="preserve">  button in the center of the spreadsheet.  Changing any value, with the exception of </t>
    </r>
    <r>
      <rPr>
        <i/>
        <sz val="11"/>
        <rFont val="Arial"/>
        <family val="2"/>
      </rPr>
      <t>Freeboard</t>
    </r>
    <r>
      <rPr>
        <sz val="11"/>
        <rFont val="Arial"/>
        <family val="2"/>
      </rPr>
      <t xml:space="preserve"> under the inlet channel column, </t>
    </r>
    <r>
      <rPr>
        <i/>
        <sz val="11"/>
        <rFont val="Arial"/>
        <family val="2"/>
      </rPr>
      <t>Outlet apron depth, d,</t>
    </r>
    <r>
      <rPr>
        <sz val="11"/>
        <rFont val="Arial"/>
        <family val="2"/>
      </rPr>
      <t xml:space="preserve"> and the</t>
    </r>
    <r>
      <rPr>
        <i/>
        <sz val="11"/>
        <rFont val="Arial"/>
        <family val="2"/>
      </rPr>
      <t xml:space="preserve"> Factor of safety (multiplier)</t>
    </r>
    <r>
      <rPr>
        <sz val="11"/>
        <rFont val="Arial"/>
        <family val="2"/>
      </rPr>
      <t xml:space="preserve"> under the chute column will blank the output values in the Profile and Cross Section area (see below).  The user must select the </t>
    </r>
    <r>
      <rPr>
        <b/>
        <sz val="11"/>
        <color indexed="10"/>
        <rFont val="Arial"/>
        <family val="2"/>
      </rPr>
      <t>Solve Spreadsheet</t>
    </r>
    <r>
      <rPr>
        <sz val="11"/>
        <rFont val="Arial"/>
        <family val="2"/>
      </rPr>
      <t xml:space="preserve"> button when finished inputting.  The program sets a limit on the steepest side slope allowed in the chute (2:1) and the steepest bed slope (3:1).  Values steeper than these will blank the output area and the program can not be solved or printed (just to the right of these cells will indicate </t>
    </r>
    <r>
      <rPr>
        <i/>
        <sz val="11"/>
        <rFont val="Arial"/>
        <family val="2"/>
      </rPr>
      <t>Too Steep)</t>
    </r>
    <r>
      <rPr>
        <sz val="11"/>
        <rFont val="Arial"/>
        <family val="2"/>
      </rPr>
      <t>.  Also, the user should input a 1.0-foot  "suggested" minimum for d (always make sure that T</t>
    </r>
    <r>
      <rPr>
        <vertAlign val="subscript"/>
        <sz val="11"/>
        <rFont val="Arial"/>
        <family val="2"/>
      </rPr>
      <t xml:space="preserve">w </t>
    </r>
    <r>
      <rPr>
        <sz val="11"/>
        <rFont val="Arial"/>
        <family val="2"/>
      </rPr>
      <t xml:space="preserve">+ d is greater than or equal to z </t>
    </r>
    <r>
      <rPr>
        <vertAlign val="subscript"/>
        <sz val="11"/>
        <rFont val="Arial"/>
        <family val="2"/>
      </rPr>
      <t>2</t>
    </r>
    <r>
      <rPr>
        <sz val="11"/>
        <rFont val="Arial"/>
        <family val="2"/>
      </rPr>
      <t>).</t>
    </r>
  </si>
  <si>
    <r>
      <t xml:space="preserve">Here the user is prompted to input  the </t>
    </r>
    <r>
      <rPr>
        <i/>
        <sz val="11"/>
        <rFont val="Arial"/>
        <family val="2"/>
      </rPr>
      <t>Inlet and Outlet apron elevation</t>
    </r>
    <r>
      <rPr>
        <sz val="11"/>
        <rFont val="Arial"/>
        <family val="2"/>
      </rPr>
      <t xml:space="preserve">.   Input the high and low frequency storm (in cfs) flowing through the chute portion of the structure (this program does not design the auxiliary spillway).  The tailwater must be adequate for both high and low flow events.  The tailwater can be inputted by the user or computed by the program for corresponding high and low flow storms.  The </t>
    </r>
    <r>
      <rPr>
        <b/>
        <sz val="11"/>
        <color indexed="10"/>
        <rFont val="Arial"/>
        <family val="2"/>
      </rPr>
      <t>Tailwater from Program</t>
    </r>
    <r>
      <rPr>
        <sz val="11"/>
        <rFont val="Arial"/>
        <family val="2"/>
      </rPr>
      <t xml:space="preserve"> button enters the word "Program" in the tailwater cells indicating that the spreadsheet will calculate the tailwater.  The user should note that changing </t>
    </r>
    <r>
      <rPr>
        <i/>
        <sz val="11"/>
        <rFont val="Arial"/>
        <family val="2"/>
      </rPr>
      <t>Q</t>
    </r>
    <r>
      <rPr>
        <i/>
        <vertAlign val="subscript"/>
        <sz val="11"/>
        <rFont val="Arial"/>
        <family val="2"/>
      </rPr>
      <t>high</t>
    </r>
    <r>
      <rPr>
        <sz val="11"/>
        <rFont val="Arial"/>
        <family val="2"/>
      </rPr>
      <t xml:space="preserve"> or </t>
    </r>
    <r>
      <rPr>
        <i/>
        <sz val="11"/>
        <rFont val="Arial"/>
        <family val="2"/>
      </rPr>
      <t>Q</t>
    </r>
    <r>
      <rPr>
        <i/>
        <vertAlign val="subscript"/>
        <sz val="11"/>
        <rFont val="Arial"/>
        <family val="2"/>
      </rPr>
      <t xml:space="preserve">low </t>
    </r>
    <r>
      <rPr>
        <sz val="11"/>
        <rFont val="Arial"/>
        <family val="2"/>
      </rPr>
      <t xml:space="preserve">will require the </t>
    </r>
    <r>
      <rPr>
        <b/>
        <sz val="11"/>
        <color indexed="10"/>
        <rFont val="Arial"/>
        <family val="2"/>
      </rPr>
      <t xml:space="preserve">Solve Spreadsheet </t>
    </r>
    <r>
      <rPr>
        <sz val="11"/>
        <rFont val="Arial"/>
        <family val="2"/>
      </rPr>
      <t>button to be selected.</t>
    </r>
  </si>
  <si>
    <r>
      <t>No values need to be input.  These results display chute hydraulics and dimensions for both high and low flow conditions.  Low flow results are given in parenthesis and units are listed with the value.  The user should make sure that T</t>
    </r>
    <r>
      <rPr>
        <vertAlign val="subscript"/>
        <sz val="11"/>
        <rFont val="Arial"/>
        <family val="2"/>
      </rPr>
      <t>w</t>
    </r>
    <r>
      <rPr>
        <sz val="11"/>
        <rFont val="Arial"/>
        <family val="2"/>
      </rPr>
      <t xml:space="preserve"> + d is greater than or equal to z</t>
    </r>
    <r>
      <rPr>
        <vertAlign val="subscript"/>
        <sz val="11"/>
        <rFont val="Arial"/>
        <family val="2"/>
      </rPr>
      <t>2</t>
    </r>
    <r>
      <rPr>
        <sz val="11"/>
        <rFont val="Arial"/>
        <family val="2"/>
      </rPr>
      <t xml:space="preserve"> as indicated by </t>
    </r>
    <r>
      <rPr>
        <i/>
        <sz val="11"/>
        <rFont val="Arial"/>
        <family val="2"/>
      </rPr>
      <t>T</t>
    </r>
    <r>
      <rPr>
        <i/>
        <vertAlign val="subscript"/>
        <sz val="11"/>
        <rFont val="Arial"/>
        <family val="2"/>
      </rPr>
      <t>w</t>
    </r>
    <r>
      <rPr>
        <i/>
        <sz val="11"/>
        <rFont val="Arial"/>
        <family val="2"/>
      </rPr>
      <t xml:space="preserve"> o.k.</t>
    </r>
    <r>
      <rPr>
        <sz val="11"/>
        <rFont val="Arial"/>
        <family val="2"/>
      </rPr>
      <t xml:space="preserve"> in the output.  If output values give a dashed line or say "Not Solved" the user must select the</t>
    </r>
    <r>
      <rPr>
        <b/>
        <sz val="11"/>
        <rFont val="Arial"/>
        <family val="2"/>
      </rPr>
      <t xml:space="preserve"> </t>
    </r>
    <r>
      <rPr>
        <b/>
        <sz val="11"/>
        <color indexed="10"/>
        <rFont val="Arial"/>
        <family val="2"/>
      </rPr>
      <t xml:space="preserve">Solve Spreadsheet </t>
    </r>
    <r>
      <rPr>
        <sz val="11"/>
        <rFont val="Arial"/>
        <family val="2"/>
      </rPr>
      <t xml:space="preserve">button.  If this doesn't work check the chute </t>
    </r>
    <r>
      <rPr>
        <i/>
        <sz val="11"/>
        <rFont val="Arial"/>
        <family val="2"/>
      </rPr>
      <t>Bed Slope</t>
    </r>
    <r>
      <rPr>
        <sz val="11"/>
        <rFont val="Arial"/>
        <family val="2"/>
      </rPr>
      <t xml:space="preserve"> and </t>
    </r>
    <r>
      <rPr>
        <i/>
        <sz val="11"/>
        <rFont val="Arial"/>
        <family val="2"/>
      </rPr>
      <t xml:space="preserve">Side Slope </t>
    </r>
    <r>
      <rPr>
        <sz val="11"/>
        <rFont val="Arial"/>
        <family val="2"/>
      </rPr>
      <t>values and make sure they are not too steep.  The High Flow Storm Information shows the D</t>
    </r>
    <r>
      <rPr>
        <vertAlign val="subscript"/>
        <sz val="11"/>
        <rFont val="Arial"/>
        <family val="2"/>
      </rPr>
      <t>50</t>
    </r>
    <r>
      <rPr>
        <sz val="11"/>
        <rFont val="Arial"/>
        <family val="2"/>
      </rPr>
      <t xml:space="preserve"> rock size by diameter (inches) and weight (pounds) for 50% angular and 50% round rock with a specific gravity (Gs) of 2.65.  The weight comes from Minnesota Technical Release 3 (MN TR-3), Loose Riprap Protection, July 1989, page 18, Figure 2-2.</t>
    </r>
  </si>
  <si>
    <r>
      <t xml:space="preserve">This sheet gives the Profile, Cross Sections, and Quantities (along with a cost estimate) for the design.  The user may input all red, italicized values and text.  The design values can be changed by the user to make them more appropriate for construction </t>
    </r>
    <r>
      <rPr>
        <i/>
        <sz val="11"/>
        <rFont val="Arial"/>
        <family val="2"/>
      </rPr>
      <t>(</t>
    </r>
    <r>
      <rPr>
        <i/>
        <u val="single"/>
        <sz val="11"/>
        <rFont val="Arial"/>
        <family val="2"/>
      </rPr>
      <t>we strongly discourage reducing the design values below what the program calculated</t>
    </r>
    <r>
      <rPr>
        <i/>
        <sz val="11"/>
        <rFont val="Arial"/>
        <family val="2"/>
      </rPr>
      <t>)</t>
    </r>
    <r>
      <rPr>
        <sz val="11"/>
        <rFont val="Arial"/>
        <family val="2"/>
      </rPr>
      <t xml:space="preserve">.  The user must enter the quantity of Excavation, Earthfill, and Seeding (if needed).  Input the unit cost for each item in the cost estimate box.  There are two print buttons in the upper left:  </t>
    </r>
    <r>
      <rPr>
        <b/>
        <sz val="11"/>
        <color indexed="10"/>
        <rFont val="Arial"/>
        <family val="2"/>
      </rPr>
      <t xml:space="preserve">Print Documentation </t>
    </r>
    <r>
      <rPr>
        <sz val="11"/>
        <rFont val="Arial"/>
        <family val="2"/>
      </rPr>
      <t xml:space="preserve">will print this page as it appears on the screen (in addition to 3 pages of design information), and </t>
    </r>
    <r>
      <rPr>
        <b/>
        <sz val="11"/>
        <color indexed="10"/>
        <rFont val="Arial"/>
        <family val="2"/>
      </rPr>
      <t>Print Plan</t>
    </r>
    <r>
      <rPr>
        <sz val="11"/>
        <rFont val="Arial"/>
        <family val="2"/>
      </rPr>
      <t xml:space="preserve"> will print a modified page that is a copy of the Plan Sheet (without the cost estimate).  This page can then be pasted on the plan and includes stakeout notes for the finished rock chute grade.  Use the </t>
    </r>
    <r>
      <rPr>
        <b/>
        <sz val="11"/>
        <color indexed="12"/>
        <rFont val="Arial"/>
        <family val="2"/>
      </rPr>
      <t>Back to Design</t>
    </r>
    <r>
      <rPr>
        <sz val="11"/>
        <rFont val="Arial"/>
        <family val="2"/>
      </rPr>
      <t xml:space="preserve"> button to return to the design data sheet.  The</t>
    </r>
    <r>
      <rPr>
        <b/>
        <sz val="11"/>
        <color indexed="12"/>
        <rFont val="Arial"/>
        <family val="2"/>
      </rPr>
      <t xml:space="preserve"> Instructions</t>
    </r>
    <r>
      <rPr>
        <sz val="11"/>
        <rFont val="Arial"/>
        <family val="2"/>
      </rPr>
      <t xml:space="preserve"> button (in the upper right) switches the user to this page.  A uniform rock riprap size is required.  Uniformly sized materials remained stable at higher flow rates than non-uniform (well graded) materials.   </t>
    </r>
  </si>
  <si>
    <t>greater than that for rounded (spherical) stone of the same diameter). Adjust the factor</t>
  </si>
  <si>
    <t>of safety (Fs) to determine the angular (crushed stone) or rounded (field stone) rock size.</t>
  </si>
  <si>
    <t xml:space="preserve">Manning's roughness coefficient measured in the middle 1/3 of the chute calculated by NRCS </t>
  </si>
  <si>
    <t>roughness.</t>
  </si>
  <si>
    <t xml:space="preserve">EFH Chapter 6 Wisconsin Supplements and also used to designate the inlet and outlet channel </t>
  </si>
  <si>
    <r>
      <t xml:space="preserve">   This Excel spreadsheet is included as a tool to design rock chutes for conservation practices.  Median size for rock is determined along with the chute hydraulics and dimensions. This spreadsheet is based on "Design of Rock Chutes" by Robinson, Rice, and Kadavy, ASAE Vol. 41(3), pp. 621-626, 1998 (Ref. 1). One Spreadsheet  version is included.  Rock_Chute.xls is intended for Excel in Microsoft Office 97. The program was developed by the Iowa design staff and modified by the WI-engineering staff.  The Excel file (.xls) is password protected.  A </t>
    </r>
    <r>
      <rPr>
        <b/>
        <i/>
        <sz val="12"/>
        <color indexed="14"/>
        <rFont val="Arial"/>
        <family val="2"/>
      </rPr>
      <t>Glossary</t>
    </r>
    <r>
      <rPr>
        <sz val="12"/>
        <rFont val="Arial"/>
        <family val="2"/>
      </rPr>
      <t xml:space="preserve"> is included below.   </t>
    </r>
  </si>
  <si>
    <t>No</t>
  </si>
  <si>
    <r>
      <t>Sc=</t>
    </r>
    <r>
      <rPr>
        <u val="single"/>
        <sz val="12"/>
        <color indexed="8"/>
        <rFont val="Arial"/>
        <family val="2"/>
      </rPr>
      <t>14.56n^2dm</t>
    </r>
  </si>
  <si>
    <t>Date</t>
  </si>
  <si>
    <t>File Name</t>
  </si>
  <si>
    <t>Drawn</t>
  </si>
  <si>
    <t>Drawing Name</t>
  </si>
  <si>
    <t>Checked</t>
  </si>
  <si>
    <t>Approved</t>
  </si>
  <si>
    <t>Sheet ___ of ___</t>
  </si>
  <si>
    <t>Sheet __ of __</t>
  </si>
  <si>
    <t>Starting Station =</t>
  </si>
  <si>
    <t>DOT Extra Heavy riprap Gradation</t>
  </si>
  <si>
    <t>DOT Light riprap Gradation</t>
  </si>
  <si>
    <t>DOT Medium  riprap Gradation</t>
  </si>
  <si>
    <t>Class I non-woven</t>
  </si>
  <si>
    <r>
      <t xml:space="preserve"> b</t>
    </r>
    <r>
      <rPr>
        <i/>
        <sz val="12"/>
        <rFont val="Arial"/>
        <family val="2"/>
      </rPr>
      <t xml:space="preserve"> Geotextile Class I (Non-woven) shall be overlapped and anchored (18-in. minimum along sides</t>
    </r>
  </si>
  <si>
    <t>Enter</t>
  </si>
  <si>
    <t>Minimum</t>
  </si>
  <si>
    <r>
      <t xml:space="preserve">(Version WI-July-2010, Based on </t>
    </r>
    <r>
      <rPr>
        <u val="single"/>
        <sz val="12"/>
        <rFont val="Arial"/>
        <family val="2"/>
      </rPr>
      <t>Design of Rock Chutes</t>
    </r>
    <r>
      <rPr>
        <sz val="12"/>
        <rFont val="Arial"/>
        <family val="2"/>
      </rPr>
      <t xml:space="preserve"> by Robinson, Rice, Kadavy, ASAE, 1998)</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</si>
</sst>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
    <numFmt numFmtId="167" formatCode="0.0000"/>
    <numFmt numFmtId="168" formatCode="0.00000"/>
    <numFmt numFmtId="169" formatCode="0.0000000000"/>
    <numFmt numFmtId="170" formatCode="mm/dd/yy"/>
    <numFmt numFmtId="171" formatCode="&quot;$&quot;#,##0.00"/>
    <numFmt numFmtId="172" formatCode="0.00000000000000"/>
    <numFmt numFmtId="173" formatCode="0;[Red]0"/>
    <numFmt numFmtId="174" formatCode="#,##0.00000000"/>
    <numFmt numFmtId="175" formatCode="[$-409]dddd\,\ mmmm\ dd\,\ yyyy"/>
    <numFmt numFmtId="176" formatCode="[$-409]mmmm\ d\,\ yyyy;@"/>
    <numFmt numFmtId="177" formatCode="[$-409]h:mm:ss\ AM/PM"/>
    <numFmt numFmtId="178" formatCode="00000"/>
    <numFmt numFmtId="179" formatCode="0\+00"/>
    <numFmt numFmtId="180" formatCode="0.0\+00"/>
    <numFmt numFmtId="181" formatCode="00.00\+00"/>
    <numFmt numFmtId="182" formatCode="00.0\+00"/>
    <numFmt numFmtId="183" formatCode="0\+00.0"/>
  </numFmts>
  <fonts count="136">
    <font>
      <sz val="11"/>
      <name val="Arial"/>
      <family val="2"/>
    </font>
    <font>
      <sz val="10"/>
      <name val="Arial"/>
      <family val="0"/>
    </font>
    <font>
      <sz val="14"/>
      <name val="Arial"/>
      <family val="2"/>
    </font>
    <font>
      <b/>
      <u val="single"/>
      <sz val="14"/>
      <name val="Arial"/>
      <family val="2"/>
    </font>
    <font>
      <b/>
      <u val="single"/>
      <sz val="16"/>
      <name val="Arial"/>
      <family val="2"/>
    </font>
    <font>
      <vertAlign val="subscript"/>
      <sz val="11"/>
      <name val="Arial"/>
      <family val="2"/>
    </font>
    <font>
      <b/>
      <u val="single"/>
      <sz val="11"/>
      <name val="Arial"/>
      <family val="2"/>
    </font>
    <font>
      <b/>
      <sz val="12"/>
      <name val="Arial"/>
      <family val="2"/>
    </font>
    <font>
      <sz val="11"/>
      <color indexed="10"/>
      <name val="Arial"/>
      <family val="2"/>
    </font>
    <font>
      <b/>
      <i/>
      <u val="single"/>
      <sz val="11"/>
      <name val="Arial"/>
      <family val="2"/>
    </font>
    <font>
      <u val="single"/>
      <sz val="11"/>
      <name val="Arial"/>
      <family val="2"/>
    </font>
    <font>
      <sz val="12"/>
      <color indexed="10"/>
      <name val="Arial"/>
      <family val="2"/>
    </font>
    <font>
      <b/>
      <u val="single"/>
      <sz val="20"/>
      <name val="Arial"/>
      <family val="2"/>
    </font>
    <font>
      <sz val="20"/>
      <name val="Arial"/>
      <family val="2"/>
    </font>
    <font>
      <b/>
      <sz val="14"/>
      <name val="Arial"/>
      <family val="2"/>
    </font>
    <font>
      <sz val="12"/>
      <name val="Arial"/>
      <family val="2"/>
    </font>
    <font>
      <b/>
      <sz val="11"/>
      <name val="Arial"/>
      <family val="2"/>
    </font>
    <font>
      <sz val="12"/>
      <color indexed="14"/>
      <name val="Arial"/>
      <family val="2"/>
    </font>
    <font>
      <vertAlign val="subscript"/>
      <sz val="12"/>
      <name val="Arial"/>
      <family val="2"/>
    </font>
    <font>
      <b/>
      <u val="single"/>
      <sz val="12"/>
      <name val="Arial"/>
      <family val="2"/>
    </font>
    <font>
      <i/>
      <sz val="12"/>
      <color indexed="14"/>
      <name val="Arial"/>
      <family val="2"/>
    </font>
    <font>
      <u val="single"/>
      <sz val="12"/>
      <name val="Arial"/>
      <family val="2"/>
    </font>
    <font>
      <b/>
      <sz val="13"/>
      <name val="Arial"/>
      <family val="2"/>
    </font>
    <font>
      <b/>
      <i/>
      <sz val="12"/>
      <name val="Arial"/>
      <family val="2"/>
    </font>
    <font>
      <b/>
      <i/>
      <u val="single"/>
      <sz val="13"/>
      <name val="Arial"/>
      <family val="2"/>
    </font>
    <font>
      <i/>
      <u val="single"/>
      <sz val="11"/>
      <name val="Arial"/>
      <family val="2"/>
    </font>
    <font>
      <sz val="11"/>
      <color indexed="8"/>
      <name val="Arial"/>
      <family val="2"/>
    </font>
    <font>
      <vertAlign val="subscript"/>
      <sz val="11"/>
      <color indexed="8"/>
      <name val="Arial"/>
      <family val="2"/>
    </font>
    <font>
      <b/>
      <i/>
      <u val="single"/>
      <sz val="12"/>
      <name val="Arial"/>
      <family val="2"/>
    </font>
    <font>
      <b/>
      <i/>
      <sz val="11"/>
      <color indexed="9"/>
      <name val="Arial"/>
      <family val="2"/>
    </font>
    <font>
      <sz val="11"/>
      <color indexed="9"/>
      <name val="Arial"/>
      <family val="2"/>
    </font>
    <font>
      <b/>
      <i/>
      <sz val="11"/>
      <name val="Arial"/>
      <family val="2"/>
    </font>
    <font>
      <b/>
      <vertAlign val="subscript"/>
      <sz val="11"/>
      <name val="Arial"/>
      <family val="2"/>
    </font>
    <font>
      <i/>
      <sz val="11"/>
      <name val="Arial"/>
      <family val="2"/>
    </font>
    <font>
      <sz val="2"/>
      <color indexed="9"/>
      <name val="Arial"/>
      <family val="2"/>
    </font>
    <font>
      <b/>
      <sz val="2"/>
      <color indexed="9"/>
      <name val="Arial"/>
      <family val="2"/>
    </font>
    <font>
      <b/>
      <vertAlign val="superscript"/>
      <sz val="11"/>
      <name val="Arial"/>
      <family val="2"/>
    </font>
    <font>
      <i/>
      <sz val="12"/>
      <name val="Arial"/>
      <family val="2"/>
    </font>
    <font>
      <vertAlign val="subscript"/>
      <sz val="10"/>
      <name val="Arial"/>
      <family val="2"/>
    </font>
    <font>
      <b/>
      <i/>
      <sz val="14"/>
      <color indexed="10"/>
      <name val="Arial"/>
      <family val="2"/>
    </font>
    <font>
      <b/>
      <i/>
      <sz val="12"/>
      <color indexed="10"/>
      <name val="Arial"/>
      <family val="2"/>
    </font>
    <font>
      <b/>
      <i/>
      <sz val="14"/>
      <color indexed="12"/>
      <name val="Arial"/>
      <family val="2"/>
    </font>
    <font>
      <sz val="11"/>
      <color indexed="14"/>
      <name val="Arial"/>
      <family val="2"/>
    </font>
    <font>
      <b/>
      <i/>
      <sz val="12"/>
      <color indexed="14"/>
      <name val="Arial"/>
      <family val="2"/>
    </font>
    <font>
      <i/>
      <u val="single"/>
      <sz val="12"/>
      <name val="Arial"/>
      <family val="2"/>
    </font>
    <font>
      <u val="single"/>
      <sz val="12"/>
      <color indexed="14"/>
      <name val="Arial"/>
      <family val="2"/>
    </font>
    <font>
      <b/>
      <sz val="12"/>
      <color indexed="10"/>
      <name val="Arial"/>
      <family val="2"/>
    </font>
    <font>
      <b/>
      <i/>
      <vertAlign val="superscript"/>
      <sz val="12"/>
      <name val="Arial"/>
      <family val="2"/>
    </font>
    <font>
      <b/>
      <sz val="12"/>
      <color indexed="14"/>
      <name val="Arial"/>
      <family val="2"/>
    </font>
    <font>
      <sz val="12"/>
      <color indexed="8"/>
      <name val="Arial"/>
      <family val="2"/>
    </font>
    <font>
      <b/>
      <u val="single"/>
      <sz val="13"/>
      <name val="Arial"/>
      <family val="2"/>
    </font>
    <font>
      <sz val="13"/>
      <name val="Arial"/>
      <family val="2"/>
    </font>
    <font>
      <b/>
      <sz val="16"/>
      <name val="Arial"/>
      <family val="2"/>
    </font>
    <font>
      <b/>
      <sz val="11"/>
      <color indexed="14"/>
      <name val="Arial"/>
      <family val="2"/>
    </font>
    <font>
      <b/>
      <vertAlign val="subscript"/>
      <sz val="11"/>
      <color indexed="14"/>
      <name val="Arial"/>
      <family val="2"/>
    </font>
    <font>
      <i/>
      <vertAlign val="superscript"/>
      <sz val="12"/>
      <name val="Arial"/>
      <family val="2"/>
    </font>
    <font>
      <b/>
      <i/>
      <sz val="13"/>
      <name val="Arial"/>
      <family val="2"/>
    </font>
    <font>
      <i/>
      <vertAlign val="subscript"/>
      <sz val="12"/>
      <name val="Arial"/>
      <family val="2"/>
    </font>
    <font>
      <sz val="18"/>
      <name val="Arial"/>
      <family val="2"/>
    </font>
    <font>
      <i/>
      <sz val="12"/>
      <color indexed="10"/>
      <name val="Arial"/>
      <family val="2"/>
    </font>
    <font>
      <b/>
      <i/>
      <u val="single"/>
      <sz val="16"/>
      <name val="Arial"/>
      <family val="2"/>
    </font>
    <font>
      <i/>
      <sz val="11"/>
      <color indexed="10"/>
      <name val="Arial"/>
      <family val="2"/>
    </font>
    <font>
      <i/>
      <sz val="11"/>
      <color indexed="14"/>
      <name val="Arial"/>
      <family val="2"/>
    </font>
    <font>
      <b/>
      <sz val="11"/>
      <color indexed="9"/>
      <name val="Arial"/>
      <family val="2"/>
    </font>
    <font>
      <b/>
      <i/>
      <sz val="11"/>
      <color indexed="14"/>
      <name val="Arial"/>
      <family val="2"/>
    </font>
    <font>
      <i/>
      <vertAlign val="subscript"/>
      <sz val="11"/>
      <name val="Arial"/>
      <family val="2"/>
    </font>
    <font>
      <b/>
      <i/>
      <u val="single"/>
      <sz val="14"/>
      <color indexed="14"/>
      <name val="Arial"/>
      <family val="2"/>
    </font>
    <font>
      <sz val="11"/>
      <color indexed="42"/>
      <name val="Arial"/>
      <family val="2"/>
    </font>
    <font>
      <sz val="1"/>
      <color indexed="9"/>
      <name val="Arial"/>
      <family val="2"/>
    </font>
    <font>
      <sz val="11"/>
      <color indexed="43"/>
      <name val="Arial"/>
      <family val="2"/>
    </font>
    <font>
      <sz val="8"/>
      <name val="Arial"/>
      <family val="2"/>
    </font>
    <font>
      <vertAlign val="subscript"/>
      <sz val="8"/>
      <name val="Arial"/>
      <family val="2"/>
    </font>
    <font>
      <sz val="11"/>
      <color indexed="33"/>
      <name val="Arial"/>
      <family val="2"/>
    </font>
    <font>
      <i/>
      <vertAlign val="superscript"/>
      <sz val="11"/>
      <name val="Arial"/>
      <family val="2"/>
    </font>
    <font>
      <sz val="16"/>
      <name val="Arial"/>
      <family val="2"/>
    </font>
    <font>
      <b/>
      <i/>
      <vertAlign val="subscript"/>
      <sz val="11"/>
      <name val="Arial"/>
      <family val="2"/>
    </font>
    <font>
      <b/>
      <sz val="11"/>
      <color indexed="12"/>
      <name val="Arial"/>
      <family val="2"/>
    </font>
    <font>
      <b/>
      <u val="single"/>
      <sz val="13"/>
      <color indexed="14"/>
      <name val="Arial"/>
      <family val="2"/>
    </font>
    <font>
      <b/>
      <sz val="11"/>
      <color indexed="10"/>
      <name val="Arial"/>
      <family val="2"/>
    </font>
    <font>
      <sz val="2"/>
      <color indexed="10"/>
      <name val="Arial"/>
      <family val="2"/>
    </font>
    <font>
      <u val="single"/>
      <sz val="12"/>
      <color indexed="8"/>
      <name val="Arial"/>
      <family val="2"/>
    </font>
    <font>
      <b/>
      <sz val="10"/>
      <color indexed="8"/>
      <name val="Arial"/>
      <family val="2"/>
    </font>
    <font>
      <sz val="16"/>
      <color indexed="8"/>
      <name val="Arial"/>
      <family val="2"/>
    </font>
    <font>
      <sz val="10"/>
      <color indexed="8"/>
      <name val="Arial"/>
      <family val="2"/>
    </font>
    <font>
      <sz val="6"/>
      <name val="Arial"/>
      <family val="2"/>
    </font>
    <font>
      <sz val="6"/>
      <name val="Arial Narrow"/>
      <family val="2"/>
    </font>
    <font>
      <sz val="10.9"/>
      <name val="Arial"/>
      <family val="2"/>
    </font>
    <font>
      <b/>
      <sz val="6"/>
      <name val="Arial Narrow"/>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vertAlign val="subscript"/>
      <sz val="12"/>
      <color indexed="8"/>
      <name val="Arial"/>
      <family val="2"/>
    </font>
    <font>
      <vertAlign val="subscript"/>
      <sz val="12"/>
      <color indexed="14"/>
      <name val="Arial"/>
      <family val="2"/>
    </font>
    <font>
      <vertAlign val="superscript"/>
      <sz val="12"/>
      <color indexed="8"/>
      <name val="Arial"/>
      <family val="2"/>
    </font>
    <font>
      <b/>
      <i/>
      <u val="single"/>
      <sz val="12"/>
      <color indexed="8"/>
      <name val="Arial"/>
      <family val="2"/>
    </font>
    <font>
      <i/>
      <vertAlign val="superscript"/>
      <sz val="12"/>
      <color indexed="8"/>
      <name val="Arial"/>
      <family val="2"/>
    </font>
    <font>
      <i/>
      <sz val="12"/>
      <color indexed="8"/>
      <name val="Arial"/>
      <family val="2"/>
    </font>
    <font>
      <sz val="9"/>
      <color indexed="14"/>
      <name val="Arial"/>
      <family val="2"/>
    </font>
    <font>
      <sz val="6"/>
      <color indexed="8"/>
      <name val="Arial"/>
      <family val="2"/>
    </font>
    <font>
      <sz val="6"/>
      <color indexed="8"/>
      <name val="Arial Narrow"/>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35"/>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style="double"/>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color indexed="63"/>
      </top>
      <bottom style="thin"/>
    </border>
    <border>
      <left>
        <color indexed="63"/>
      </left>
      <right style="thick"/>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style="thick"/>
    </border>
    <border>
      <left style="medium"/>
      <right style="medium"/>
      <top style="medium"/>
      <bottom style="medium"/>
    </border>
    <border>
      <left style="thick"/>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style="thin"/>
      <right>
        <color indexed="63"/>
      </right>
      <top style="thin"/>
      <bottom style="thin"/>
    </border>
    <border>
      <left>
        <color indexed="63"/>
      </left>
      <right style="thin"/>
      <top style="thin"/>
      <bottom style="thin"/>
    </border>
    <border>
      <left style="double"/>
      <right style="double"/>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ck"/>
      <right>
        <color indexed="63"/>
      </right>
      <top style="thin"/>
      <bottom>
        <color indexed="63"/>
      </bottom>
    </border>
    <border>
      <left style="thick">
        <color rgb="FFFF0000"/>
      </left>
      <right style="thick">
        <color rgb="FFFF0000"/>
      </right>
      <top>
        <color indexed="63"/>
      </top>
      <bottom style="thick">
        <color rgb="FFFF0000"/>
      </bottom>
    </border>
    <border>
      <left style="thick"/>
      <right style="medium"/>
      <top style="medium"/>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style="thick">
        <color rgb="FFFF0000"/>
      </top>
      <bottom style="thick">
        <color rgb="FFFF0000"/>
      </bottom>
    </border>
    <border>
      <left>
        <color indexed="63"/>
      </left>
      <right style="double"/>
      <top style="thin"/>
      <bottom style="thin"/>
    </border>
  </borders>
  <cellStyleXfs count="61">
    <xf numFmtId="2"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0" fontId="0" fillId="32" borderId="7" applyNumberFormat="0" applyFont="0" applyAlignment="0" applyProtection="0"/>
    <xf numFmtId="0" fontId="131" fillId="27" borderId="8" applyNumberFormat="0" applyAlignment="0" applyProtection="0"/>
    <xf numFmtId="9" fontId="1" fillId="0" borderId="0" applyFon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646">
    <xf numFmtId="2" fontId="0" fillId="0" borderId="0" xfId="0" applyAlignment="1">
      <alignment horizontal="center" vertical="center"/>
    </xf>
    <xf numFmtId="2" fontId="7" fillId="0" borderId="0" xfId="0" applyFont="1" applyAlignment="1">
      <alignment horizontal="left" vertical="center"/>
    </xf>
    <xf numFmtId="2" fontId="0" fillId="33" borderId="10" xfId="0" applyFill="1" applyBorder="1" applyAlignment="1">
      <alignment horizontal="center" vertical="center"/>
    </xf>
    <xf numFmtId="2" fontId="0" fillId="33" borderId="11" xfId="0" applyFill="1" applyBorder="1" applyAlignment="1">
      <alignment horizontal="center" vertical="center"/>
    </xf>
    <xf numFmtId="2" fontId="0" fillId="33" borderId="12" xfId="0" applyFill="1" applyBorder="1" applyAlignment="1">
      <alignment horizontal="center" vertical="center"/>
    </xf>
    <xf numFmtId="2" fontId="0" fillId="33" borderId="0" xfId="0" applyFill="1" applyBorder="1" applyAlignment="1">
      <alignment horizontal="center" vertical="center"/>
    </xf>
    <xf numFmtId="2" fontId="0" fillId="33" borderId="13" xfId="0" applyFill="1" applyBorder="1" applyAlignment="1">
      <alignment horizontal="center" vertical="center"/>
    </xf>
    <xf numFmtId="2" fontId="0" fillId="33" borderId="14" xfId="0" applyFill="1" applyBorder="1" applyAlignment="1">
      <alignment horizontal="center" vertical="center"/>
    </xf>
    <xf numFmtId="2" fontId="0" fillId="33" borderId="15" xfId="0" applyFill="1" applyBorder="1" applyAlignment="1">
      <alignment horizontal="center" vertical="center"/>
    </xf>
    <xf numFmtId="2" fontId="0" fillId="33" borderId="16" xfId="0" applyFill="1" applyBorder="1" applyAlignment="1">
      <alignment horizontal="center" vertical="center"/>
    </xf>
    <xf numFmtId="2" fontId="15" fillId="33" borderId="0" xfId="0" applyFont="1" applyFill="1" applyBorder="1" applyAlignment="1">
      <alignment horizontal="right" vertical="center"/>
    </xf>
    <xf numFmtId="2" fontId="15" fillId="33" borderId="14" xfId="0" applyFont="1" applyFill="1" applyBorder="1" applyAlignment="1">
      <alignment horizontal="right" vertical="center"/>
    </xf>
    <xf numFmtId="2" fontId="0" fillId="34" borderId="0" xfId="0" applyFill="1" applyBorder="1" applyAlignment="1">
      <alignment horizontal="center" vertical="center"/>
    </xf>
    <xf numFmtId="2" fontId="15" fillId="33" borderId="17" xfId="0" applyFont="1" applyFill="1" applyBorder="1" applyAlignment="1">
      <alignment horizontal="center" vertical="center"/>
    </xf>
    <xf numFmtId="2" fontId="15" fillId="33" borderId="12" xfId="0" applyFont="1" applyFill="1" applyBorder="1" applyAlignment="1">
      <alignment horizontal="center" vertical="center"/>
    </xf>
    <xf numFmtId="2" fontId="7" fillId="34" borderId="0" xfId="0" applyFont="1" applyFill="1" applyBorder="1" applyAlignment="1">
      <alignment horizontal="right" vertical="center"/>
    </xf>
    <xf numFmtId="2" fontId="4" fillId="34" borderId="0" xfId="0" applyFont="1" applyFill="1" applyBorder="1" applyAlignment="1">
      <alignment horizontal="center"/>
    </xf>
    <xf numFmtId="2" fontId="0" fillId="35" borderId="11" xfId="0" applyFill="1" applyBorder="1" applyAlignment="1">
      <alignment horizontal="center" vertical="center"/>
    </xf>
    <xf numFmtId="2" fontId="0" fillId="35" borderId="15" xfId="0" applyFill="1" applyBorder="1" applyAlignment="1">
      <alignment horizontal="center" vertical="center"/>
    </xf>
    <xf numFmtId="2" fontId="7" fillId="35" borderId="12" xfId="0" applyFont="1" applyFill="1" applyBorder="1" applyAlignment="1">
      <alignment horizontal="left" vertical="center"/>
    </xf>
    <xf numFmtId="2" fontId="0" fillId="35" borderId="0" xfId="0" applyFill="1" applyBorder="1" applyAlignment="1">
      <alignment horizontal="right" vertical="center"/>
    </xf>
    <xf numFmtId="2" fontId="0" fillId="35" borderId="0" xfId="0" applyFill="1" applyAlignment="1">
      <alignment horizontal="center" vertical="center"/>
    </xf>
    <xf numFmtId="2" fontId="0" fillId="35" borderId="0" xfId="0" applyFill="1" applyBorder="1" applyAlignment="1">
      <alignment horizontal="center" vertical="center"/>
    </xf>
    <xf numFmtId="2" fontId="4" fillId="35" borderId="0" xfId="0" applyFont="1" applyFill="1" applyBorder="1" applyAlignment="1">
      <alignment horizontal="center"/>
    </xf>
    <xf numFmtId="2" fontId="6" fillId="35" borderId="0" xfId="0" applyFont="1" applyFill="1" applyBorder="1" applyAlignment="1">
      <alignment horizontal="left" vertical="center"/>
    </xf>
    <xf numFmtId="2" fontId="0" fillId="35" borderId="16" xfId="0" applyFill="1" applyBorder="1" applyAlignment="1">
      <alignment horizontal="center" vertical="center"/>
    </xf>
    <xf numFmtId="2" fontId="0" fillId="35" borderId="12" xfId="0" applyFill="1" applyBorder="1" applyAlignment="1">
      <alignment horizontal="center" vertical="center"/>
    </xf>
    <xf numFmtId="2" fontId="0" fillId="35" borderId="0" xfId="0" applyFont="1" applyFill="1" applyBorder="1" applyAlignment="1">
      <alignment horizontal="right" vertical="center"/>
    </xf>
    <xf numFmtId="2" fontId="6" fillId="35" borderId="0" xfId="0" applyFont="1" applyFill="1" applyBorder="1" applyAlignment="1">
      <alignment horizontal="right" vertical="center"/>
    </xf>
    <xf numFmtId="2" fontId="0" fillId="35" borderId="0" xfId="0" applyFill="1" applyBorder="1" applyAlignment="1">
      <alignment horizontal="left" vertical="center"/>
    </xf>
    <xf numFmtId="2" fontId="0" fillId="35" borderId="0" xfId="0" applyFill="1" applyBorder="1" applyAlignment="1">
      <alignment horizontal="left" vertical="top"/>
    </xf>
    <xf numFmtId="1" fontId="17" fillId="35" borderId="0" xfId="0" applyNumberFormat="1" applyFont="1" applyFill="1" applyAlignment="1">
      <alignment horizontal="left" vertical="top"/>
    </xf>
    <xf numFmtId="165" fontId="20" fillId="35" borderId="0" xfId="0" applyNumberFormat="1" applyFont="1" applyFill="1" applyAlignment="1">
      <alignment horizontal="left"/>
    </xf>
    <xf numFmtId="2" fontId="0" fillId="35" borderId="0" xfId="0" applyFill="1" applyBorder="1" applyAlignment="1">
      <alignment horizontal="right"/>
    </xf>
    <xf numFmtId="2" fontId="0" fillId="35" borderId="0" xfId="0" applyFill="1" applyAlignment="1">
      <alignment horizontal="center" vertical="center"/>
    </xf>
    <xf numFmtId="165" fontId="20" fillId="35" borderId="0" xfId="0" applyNumberFormat="1" applyFont="1" applyFill="1" applyAlignment="1">
      <alignment horizontal="left" vertical="top"/>
    </xf>
    <xf numFmtId="2" fontId="0" fillId="35" borderId="0" xfId="0" applyFont="1" applyFill="1" applyBorder="1" applyAlignment="1">
      <alignment horizontal="center" vertical="center"/>
    </xf>
    <xf numFmtId="165" fontId="17" fillId="35" borderId="0" xfId="0" applyNumberFormat="1" applyFont="1" applyFill="1" applyAlignment="1">
      <alignment horizontal="left" vertical="center"/>
    </xf>
    <xf numFmtId="2" fontId="0" fillId="35" borderId="0" xfId="0" applyFill="1" applyAlignment="1">
      <alignment horizontal="left" vertical="top" textRotation="127"/>
    </xf>
    <xf numFmtId="2" fontId="0" fillId="35" borderId="12" xfId="0" applyFont="1" applyFill="1" applyBorder="1" applyAlignment="1">
      <alignment horizontal="right" vertical="center"/>
    </xf>
    <xf numFmtId="2" fontId="0" fillId="35" borderId="0" xfId="0" applyFont="1" applyFill="1" applyBorder="1" applyAlignment="1">
      <alignment horizontal="left" vertical="center"/>
    </xf>
    <xf numFmtId="2" fontId="16" fillId="35" borderId="12" xfId="0" applyFont="1" applyFill="1" applyBorder="1" applyAlignment="1">
      <alignment horizontal="left"/>
    </xf>
    <xf numFmtId="2" fontId="0" fillId="35" borderId="12" xfId="0" applyFill="1" applyBorder="1" applyAlignment="1">
      <alignment horizontal="left" vertical="center"/>
    </xf>
    <xf numFmtId="2" fontId="19" fillId="35" borderId="0" xfId="0" applyFont="1" applyFill="1" applyBorder="1" applyAlignment="1">
      <alignment horizontal="right" vertical="center"/>
    </xf>
    <xf numFmtId="2" fontId="15" fillId="35" borderId="0" xfId="0" applyFont="1" applyFill="1" applyBorder="1" applyAlignment="1">
      <alignment horizontal="right"/>
    </xf>
    <xf numFmtId="165" fontId="20" fillId="35" borderId="18" xfId="0" applyNumberFormat="1" applyFont="1" applyFill="1" applyBorder="1" applyAlignment="1">
      <alignment horizontal="center"/>
    </xf>
    <xf numFmtId="165" fontId="20" fillId="35" borderId="19" xfId="0" applyNumberFormat="1" applyFont="1" applyFill="1" applyBorder="1" applyAlignment="1">
      <alignment horizontal="center" vertical="center"/>
    </xf>
    <xf numFmtId="165" fontId="20" fillId="35" borderId="0" xfId="0" applyNumberFormat="1" applyFont="1" applyFill="1" applyAlignment="1">
      <alignment horizontal="center" vertical="center"/>
    </xf>
    <xf numFmtId="1" fontId="0" fillId="35" borderId="0" xfId="0" applyNumberFormat="1" applyFill="1" applyBorder="1" applyAlignment="1">
      <alignment horizontal="center" vertical="center"/>
    </xf>
    <xf numFmtId="165" fontId="20" fillId="35" borderId="18" xfId="0" applyNumberFormat="1" applyFont="1" applyFill="1" applyBorder="1" applyAlignment="1">
      <alignment horizontal="center" vertical="center"/>
    </xf>
    <xf numFmtId="2" fontId="15" fillId="35" borderId="0" xfId="0" applyFont="1" applyFill="1" applyAlignment="1">
      <alignment horizontal="right" vertical="center"/>
    </xf>
    <xf numFmtId="1" fontId="20" fillId="35" borderId="19" xfId="0" applyNumberFormat="1" applyFont="1" applyFill="1" applyBorder="1" applyAlignment="1">
      <alignment horizontal="center" vertical="center"/>
    </xf>
    <xf numFmtId="2" fontId="15" fillId="35" borderId="0" xfId="0" applyFont="1" applyFill="1" applyAlignment="1">
      <alignment horizontal="left" vertical="center"/>
    </xf>
    <xf numFmtId="1" fontId="20" fillId="35" borderId="18" xfId="0" applyNumberFormat="1" applyFont="1" applyFill="1" applyBorder="1" applyAlignment="1">
      <alignment horizontal="center" vertical="center"/>
    </xf>
    <xf numFmtId="2" fontId="15" fillId="35" borderId="0" xfId="0" applyFont="1" applyFill="1" applyBorder="1" applyAlignment="1">
      <alignment horizontal="left" vertical="center"/>
    </xf>
    <xf numFmtId="2" fontId="0" fillId="35" borderId="10" xfId="0" applyFill="1" applyBorder="1" applyAlignment="1">
      <alignment horizontal="center" vertical="center"/>
    </xf>
    <xf numFmtId="2" fontId="16" fillId="35" borderId="12" xfId="0" applyFont="1" applyFill="1" applyBorder="1" applyAlignment="1">
      <alignment horizontal="left" vertical="top"/>
    </xf>
    <xf numFmtId="2" fontId="0" fillId="35" borderId="0" xfId="0" applyFill="1" applyAlignment="1">
      <alignment horizontal="center" vertical="top"/>
    </xf>
    <xf numFmtId="2" fontId="0" fillId="35" borderId="12" xfId="0" applyFill="1" applyBorder="1" applyAlignment="1">
      <alignment horizontal="left"/>
    </xf>
    <xf numFmtId="2" fontId="0" fillId="35" borderId="12" xfId="0" applyFill="1" applyBorder="1" applyAlignment="1">
      <alignment horizontal="right"/>
    </xf>
    <xf numFmtId="2" fontId="0" fillId="34" borderId="0" xfId="0" applyFill="1" applyBorder="1" applyAlignment="1">
      <alignment horizontal="center" vertical="center"/>
    </xf>
    <xf numFmtId="2" fontId="0" fillId="34" borderId="0" xfId="0" applyNumberFormat="1" applyFill="1" applyBorder="1" applyAlignment="1">
      <alignment horizontal="center" vertical="center"/>
    </xf>
    <xf numFmtId="2" fontId="0" fillId="34" borderId="0" xfId="0" applyFill="1" applyBorder="1" applyAlignment="1">
      <alignment horizontal="left" vertical="center"/>
    </xf>
    <xf numFmtId="2" fontId="0" fillId="34" borderId="0" xfId="0" applyFill="1" applyBorder="1" applyAlignment="1">
      <alignment horizontal="right" vertical="center"/>
    </xf>
    <xf numFmtId="2" fontId="0" fillId="34" borderId="0" xfId="0" applyFill="1" applyBorder="1" applyAlignment="1" quotePrefix="1">
      <alignment horizontal="center" vertical="center"/>
    </xf>
    <xf numFmtId="2" fontId="8" fillId="34" borderId="0" xfId="0" applyFont="1" applyFill="1" applyBorder="1" applyAlignment="1">
      <alignment horizontal="right" vertical="center"/>
    </xf>
    <xf numFmtId="2" fontId="8" fillId="34" borderId="0" xfId="0" applyFont="1" applyFill="1" applyBorder="1" applyAlignment="1">
      <alignment horizontal="left" vertical="center"/>
    </xf>
    <xf numFmtId="164" fontId="0" fillId="34" borderId="0" xfId="0" applyNumberFormat="1" applyFill="1" applyBorder="1" applyAlignment="1">
      <alignment horizontal="center" vertical="center"/>
    </xf>
    <xf numFmtId="2" fontId="0" fillId="34" borderId="0" xfId="0" applyFill="1" applyBorder="1" applyAlignment="1" quotePrefix="1">
      <alignment horizontal="center" vertical="center"/>
    </xf>
    <xf numFmtId="2" fontId="7" fillId="34" borderId="0" xfId="0" applyFont="1" applyFill="1" applyBorder="1" applyAlignment="1">
      <alignment horizontal="left" vertical="center"/>
    </xf>
    <xf numFmtId="2" fontId="6" fillId="34" borderId="0" xfId="0" applyFont="1" applyFill="1" applyBorder="1" applyAlignment="1">
      <alignment horizontal="left" vertical="center"/>
    </xf>
    <xf numFmtId="2" fontId="16" fillId="34" borderId="0" xfId="0" applyFont="1" applyFill="1" applyBorder="1" applyAlignment="1">
      <alignment horizontal="left" vertical="center"/>
    </xf>
    <xf numFmtId="2" fontId="30" fillId="34" borderId="0" xfId="0" applyFont="1" applyFill="1" applyBorder="1" applyAlignment="1" applyProtection="1">
      <alignment horizontal="center" vertical="center"/>
      <protection hidden="1"/>
    </xf>
    <xf numFmtId="2" fontId="29" fillId="34" borderId="0" xfId="0" applyFont="1" applyFill="1" applyBorder="1" applyAlignment="1">
      <alignment horizontal="center" vertical="center"/>
    </xf>
    <xf numFmtId="2" fontId="30" fillId="34" borderId="0" xfId="0" applyFont="1" applyFill="1" applyBorder="1" applyAlignment="1">
      <alignment horizontal="center" vertical="center"/>
    </xf>
    <xf numFmtId="2" fontId="29" fillId="34" borderId="0" xfId="0" applyFont="1" applyFill="1" applyBorder="1" applyAlignment="1" applyProtection="1">
      <alignment horizontal="center" vertical="center"/>
      <protection hidden="1"/>
    </xf>
    <xf numFmtId="2" fontId="0" fillId="34" borderId="0" xfId="0" applyFill="1" applyBorder="1" applyAlignment="1">
      <alignment horizontal="left" vertical="top"/>
    </xf>
    <xf numFmtId="2" fontId="0" fillId="34" borderId="0" xfId="0" applyFill="1" applyBorder="1" applyAlignment="1">
      <alignment horizontal="left"/>
    </xf>
    <xf numFmtId="165" fontId="31" fillId="34" borderId="0" xfId="0" applyNumberFormat="1" applyFont="1" applyFill="1" applyBorder="1" applyAlignment="1">
      <alignment horizontal="left" vertical="center"/>
    </xf>
    <xf numFmtId="2" fontId="16" fillId="34" borderId="0" xfId="0" applyFont="1" applyFill="1" applyBorder="1" applyAlignment="1">
      <alignment horizontal="right" vertical="center"/>
    </xf>
    <xf numFmtId="2" fontId="16" fillId="34" borderId="0" xfId="0" applyNumberFormat="1" applyFont="1" applyFill="1" applyBorder="1" applyAlignment="1">
      <alignment horizontal="center" vertical="center"/>
    </xf>
    <xf numFmtId="2" fontId="16" fillId="34" borderId="0" xfId="0" applyNumberFormat="1" applyFont="1" applyFill="1" applyBorder="1" applyAlignment="1">
      <alignment horizontal="right" vertical="center"/>
    </xf>
    <xf numFmtId="2" fontId="16" fillId="34" borderId="0" xfId="0" applyNumberFormat="1" applyFont="1" applyFill="1" applyBorder="1" applyAlignment="1">
      <alignment horizontal="center" vertical="center"/>
    </xf>
    <xf numFmtId="2" fontId="16" fillId="34" borderId="0" xfId="0" applyFont="1" applyFill="1" applyBorder="1" applyAlignment="1">
      <alignment horizontal="center" vertical="center"/>
    </xf>
    <xf numFmtId="2" fontId="0" fillId="34" borderId="0" xfId="0" applyNumberFormat="1" applyFont="1" applyFill="1" applyBorder="1" applyAlignment="1">
      <alignment horizontal="center" vertical="center"/>
    </xf>
    <xf numFmtId="2" fontId="33" fillId="34" borderId="0" xfId="0" applyFont="1" applyFill="1" applyBorder="1" applyAlignment="1">
      <alignment horizontal="left" vertical="center"/>
    </xf>
    <xf numFmtId="2" fontId="0" fillId="34" borderId="0" xfId="0" applyFont="1" applyFill="1" applyBorder="1" applyAlignment="1" applyProtection="1">
      <alignment horizontal="center" vertical="center"/>
      <protection hidden="1"/>
    </xf>
    <xf numFmtId="2" fontId="0" fillId="34" borderId="0" xfId="0" applyFont="1" applyFill="1" applyBorder="1" applyAlignment="1" applyProtection="1">
      <alignment horizontal="left" vertical="center"/>
      <protection hidden="1"/>
    </xf>
    <xf numFmtId="2" fontId="34" fillId="34" borderId="0" xfId="0" applyFont="1" applyFill="1" applyBorder="1" applyAlignment="1" applyProtection="1">
      <alignment horizontal="center" vertical="center"/>
      <protection hidden="1"/>
    </xf>
    <xf numFmtId="2" fontId="35" fillId="34" borderId="0" xfId="0" applyNumberFormat="1" applyFont="1" applyFill="1" applyBorder="1" applyAlignment="1" applyProtection="1">
      <alignment horizontal="center" vertical="center"/>
      <protection hidden="1"/>
    </xf>
    <xf numFmtId="2" fontId="34" fillId="34" borderId="0" xfId="0" applyFont="1" applyFill="1" applyBorder="1" applyAlignment="1" applyProtection="1">
      <alignment horizontal="center" vertical="center"/>
      <protection hidden="1"/>
    </xf>
    <xf numFmtId="2" fontId="34" fillId="34" borderId="0" xfId="0" applyFont="1" applyFill="1" applyBorder="1" applyAlignment="1">
      <alignment horizontal="center" vertical="center"/>
    </xf>
    <xf numFmtId="2" fontId="34" fillId="34" borderId="0" xfId="0" applyFont="1" applyFill="1" applyBorder="1" applyAlignment="1">
      <alignment horizontal="left" vertical="center"/>
    </xf>
    <xf numFmtId="2" fontId="34" fillId="34" borderId="0" xfId="0" applyFont="1" applyFill="1" applyBorder="1" applyAlignment="1">
      <alignment horizontal="center" vertical="center"/>
    </xf>
    <xf numFmtId="2" fontId="35" fillId="34" borderId="0" xfId="0" applyNumberFormat="1" applyFont="1" applyFill="1" applyBorder="1" applyAlignment="1">
      <alignment horizontal="center" vertical="center"/>
    </xf>
    <xf numFmtId="168" fontId="0" fillId="0" borderId="0" xfId="0" applyNumberFormat="1" applyAlignment="1">
      <alignment horizontal="center" vertical="center"/>
    </xf>
    <xf numFmtId="2" fontId="16" fillId="0" borderId="18" xfId="0" applyFont="1" applyBorder="1" applyAlignment="1">
      <alignment horizontal="center" vertical="center"/>
    </xf>
    <xf numFmtId="2" fontId="16" fillId="0" borderId="0" xfId="0" applyFont="1" applyAlignment="1">
      <alignment horizontal="center" vertical="center"/>
    </xf>
    <xf numFmtId="2" fontId="8" fillId="0" borderId="0" xfId="0" applyFont="1" applyAlignment="1">
      <alignment horizontal="center" vertical="center"/>
    </xf>
    <xf numFmtId="2" fontId="0" fillId="0" borderId="0" xfId="0" applyFont="1" applyAlignment="1">
      <alignment horizontal="center" vertical="center"/>
    </xf>
    <xf numFmtId="2" fontId="0" fillId="0" borderId="0" xfId="0" applyAlignment="1">
      <alignment horizontal="right" vertical="center"/>
    </xf>
    <xf numFmtId="2" fontId="0" fillId="0" borderId="18" xfId="0" applyBorder="1" applyAlignment="1">
      <alignment horizontal="center" vertical="center"/>
    </xf>
    <xf numFmtId="2" fontId="0" fillId="0" borderId="0" xfId="0" applyAlignment="1">
      <alignment horizontal="left" vertical="center"/>
    </xf>
    <xf numFmtId="2" fontId="6" fillId="0" borderId="0" xfId="0" applyFont="1" applyAlignment="1">
      <alignment horizontal="left" vertical="center"/>
    </xf>
    <xf numFmtId="2" fontId="3" fillId="0" borderId="0" xfId="0" applyFont="1" applyAlignment="1">
      <alignment horizontal="left" vertical="center"/>
    </xf>
    <xf numFmtId="164" fontId="0" fillId="0" borderId="0" xfId="0" applyNumberFormat="1" applyAlignment="1">
      <alignment horizontal="right" vertical="center"/>
    </xf>
    <xf numFmtId="1" fontId="20" fillId="35" borderId="0" xfId="0" applyNumberFormat="1" applyFont="1" applyFill="1" applyAlignment="1">
      <alignment horizontal="left"/>
    </xf>
    <xf numFmtId="1" fontId="20" fillId="35" borderId="0" xfId="0" applyNumberFormat="1" applyFont="1" applyFill="1" applyAlignment="1">
      <alignment horizontal="left" vertical="center"/>
    </xf>
    <xf numFmtId="2" fontId="20" fillId="35" borderId="0" xfId="0" applyFont="1" applyFill="1" applyBorder="1" applyAlignment="1">
      <alignment horizontal="left" vertical="center"/>
    </xf>
    <xf numFmtId="2" fontId="20" fillId="35" borderId="0" xfId="0" applyFont="1" applyFill="1" applyAlignment="1">
      <alignment horizontal="left" vertical="center"/>
    </xf>
    <xf numFmtId="1" fontId="20" fillId="35" borderId="0" xfId="0" applyNumberFormat="1" applyFont="1" applyFill="1" applyAlignment="1">
      <alignment horizontal="left" vertical="top"/>
    </xf>
    <xf numFmtId="1" fontId="37" fillId="35" borderId="0" xfId="0" applyNumberFormat="1" applyFont="1" applyFill="1" applyAlignment="1">
      <alignment horizontal="left" vertical="center"/>
    </xf>
    <xf numFmtId="165" fontId="20" fillId="35" borderId="0" xfId="0" applyNumberFormat="1" applyFont="1" applyFill="1" applyAlignment="1">
      <alignment horizontal="left" vertical="center"/>
    </xf>
    <xf numFmtId="1" fontId="20" fillId="35" borderId="0" xfId="0" applyNumberFormat="1" applyFont="1" applyFill="1" applyAlignment="1">
      <alignment horizontal="center"/>
    </xf>
    <xf numFmtId="2" fontId="20" fillId="35" borderId="0" xfId="0" applyFont="1" applyFill="1" applyBorder="1" applyAlignment="1">
      <alignment horizontal="left"/>
    </xf>
    <xf numFmtId="2" fontId="20" fillId="35" borderId="0" xfId="0" applyFont="1" applyFill="1" applyAlignment="1">
      <alignment horizontal="left" vertical="top"/>
    </xf>
    <xf numFmtId="1" fontId="20" fillId="35" borderId="0" xfId="0" applyNumberFormat="1" applyFont="1" applyFill="1" applyAlignment="1">
      <alignment horizontal="center" vertical="center"/>
    </xf>
    <xf numFmtId="165" fontId="20" fillId="35" borderId="0" xfId="0" applyNumberFormat="1" applyFont="1" applyFill="1" applyAlignment="1">
      <alignment horizontal="right" vertical="center"/>
    </xf>
    <xf numFmtId="1" fontId="15" fillId="35" borderId="0" xfId="0" applyNumberFormat="1" applyFont="1" applyFill="1" applyAlignment="1" quotePrefix="1">
      <alignment horizontal="left" vertical="top"/>
    </xf>
    <xf numFmtId="2" fontId="0" fillId="0" borderId="0" xfId="0" applyBorder="1" applyAlignment="1">
      <alignment horizontal="center" vertical="center"/>
    </xf>
    <xf numFmtId="2" fontId="37" fillId="33" borderId="0" xfId="0" applyFont="1" applyFill="1" applyBorder="1" applyAlignment="1">
      <alignment vertical="center"/>
    </xf>
    <xf numFmtId="2" fontId="33" fillId="33" borderId="0" xfId="0" applyFont="1" applyFill="1" applyBorder="1" applyAlignment="1">
      <alignment horizontal="center" vertical="center"/>
    </xf>
    <xf numFmtId="2" fontId="37" fillId="33" borderId="0" xfId="0" applyFont="1" applyFill="1" applyBorder="1" applyAlignment="1">
      <alignment horizontal="left" vertical="top"/>
    </xf>
    <xf numFmtId="2" fontId="0" fillId="35" borderId="0" xfId="0" applyFill="1" applyBorder="1" applyAlignment="1" quotePrefix="1">
      <alignment horizontal="center" vertical="center"/>
    </xf>
    <xf numFmtId="2" fontId="20" fillId="35" borderId="19" xfId="0" applyNumberFormat="1" applyFont="1" applyFill="1" applyBorder="1" applyAlignment="1">
      <alignment horizontal="center" vertical="center"/>
    </xf>
    <xf numFmtId="1" fontId="20" fillId="35" borderId="0" xfId="0" applyNumberFormat="1" applyFont="1" applyFill="1" applyBorder="1" applyAlignment="1">
      <alignment horizontal="right" vertical="top"/>
    </xf>
    <xf numFmtId="1" fontId="20" fillId="35" borderId="0" xfId="0" applyNumberFormat="1" applyFont="1" applyFill="1" applyBorder="1" applyAlignment="1">
      <alignment horizontal="right" vertical="center"/>
    </xf>
    <xf numFmtId="167" fontId="15" fillId="0" borderId="0" xfId="0" applyNumberFormat="1" applyFont="1" applyFill="1" applyBorder="1" applyAlignment="1">
      <alignment horizontal="center" vertical="center"/>
    </xf>
    <xf numFmtId="2" fontId="0" fillId="0" borderId="0" xfId="0" applyFont="1" applyAlignment="1">
      <alignment horizontal="center" vertical="center"/>
    </xf>
    <xf numFmtId="2" fontId="10" fillId="0" borderId="0" xfId="0" applyFont="1" applyAlignment="1">
      <alignment horizontal="center" vertical="center"/>
    </xf>
    <xf numFmtId="2" fontId="0" fillId="0" borderId="0" xfId="0" applyFont="1" applyFill="1" applyBorder="1" applyAlignment="1">
      <alignment horizontal="center" vertical="center"/>
    </xf>
    <xf numFmtId="168" fontId="0" fillId="0" borderId="0" xfId="0" applyNumberFormat="1" applyFont="1" applyAlignment="1">
      <alignment horizontal="center" vertical="center"/>
    </xf>
    <xf numFmtId="2" fontId="15" fillId="33" borderId="0" xfId="0" applyFont="1" applyFill="1" applyBorder="1" applyAlignment="1" quotePrefix="1">
      <alignment horizontal="left" vertical="center"/>
    </xf>
    <xf numFmtId="2" fontId="15" fillId="33" borderId="14" xfId="0" applyFont="1" applyFill="1" applyBorder="1" applyAlignment="1" quotePrefix="1">
      <alignment horizontal="left" vertical="center"/>
    </xf>
    <xf numFmtId="165" fontId="15" fillId="35" borderId="0" xfId="0" applyNumberFormat="1" applyFont="1" applyFill="1" applyAlignment="1">
      <alignment horizontal="left" vertical="center"/>
    </xf>
    <xf numFmtId="2" fontId="15" fillId="35" borderId="0" xfId="0" applyFont="1" applyFill="1" applyBorder="1" applyAlignment="1">
      <alignment horizontal="right" vertical="center"/>
    </xf>
    <xf numFmtId="1" fontId="20" fillId="35" borderId="0" xfId="0" applyNumberFormat="1" applyFont="1" applyFill="1" applyAlignment="1">
      <alignment vertical="center"/>
    </xf>
    <xf numFmtId="170" fontId="15" fillId="34" borderId="18" xfId="0" applyNumberFormat="1" applyFont="1" applyFill="1" applyBorder="1" applyAlignment="1">
      <alignment horizontal="left" vertical="center"/>
    </xf>
    <xf numFmtId="2" fontId="0" fillId="35" borderId="20" xfId="0" applyFill="1" applyBorder="1" applyAlignment="1">
      <alignment horizontal="center" vertical="center"/>
    </xf>
    <xf numFmtId="2" fontId="0" fillId="35" borderId="21" xfId="0" applyFill="1" applyBorder="1" applyAlignment="1">
      <alignment horizontal="center" vertical="center"/>
    </xf>
    <xf numFmtId="2" fontId="0" fillId="35" borderId="22" xfId="0" applyFill="1" applyBorder="1" applyAlignment="1">
      <alignment horizontal="center" vertical="center"/>
    </xf>
    <xf numFmtId="2" fontId="15" fillId="35" borderId="0" xfId="0" applyFont="1" applyFill="1" applyBorder="1" applyAlignment="1">
      <alignment horizontal="center" vertical="center"/>
    </xf>
    <xf numFmtId="2" fontId="28" fillId="35" borderId="0" xfId="0" applyFont="1" applyFill="1" applyBorder="1" applyAlignment="1">
      <alignment horizontal="right" vertical="center"/>
    </xf>
    <xf numFmtId="2" fontId="0" fillId="35" borderId="23" xfId="0" applyFill="1" applyBorder="1" applyAlignment="1">
      <alignment horizontal="center" vertical="center"/>
    </xf>
    <xf numFmtId="165" fontId="11" fillId="35" borderId="0" xfId="0" applyNumberFormat="1" applyFont="1" applyFill="1" applyBorder="1" applyAlignment="1">
      <alignment horizontal="left" vertical="center"/>
    </xf>
    <xf numFmtId="2" fontId="28" fillId="35" borderId="0" xfId="0" applyFont="1" applyFill="1" applyBorder="1" applyAlignment="1">
      <alignment horizontal="center" vertical="center"/>
    </xf>
    <xf numFmtId="2" fontId="17" fillId="35" borderId="0" xfId="0" applyFont="1" applyFill="1" applyBorder="1" applyAlignment="1">
      <alignment horizontal="left" vertical="center"/>
    </xf>
    <xf numFmtId="1" fontId="0" fillId="35" borderId="0" xfId="0" applyNumberFormat="1" applyFill="1" applyBorder="1" applyAlignment="1">
      <alignment horizontal="left" vertical="center"/>
    </xf>
    <xf numFmtId="1" fontId="0" fillId="35" borderId="0" xfId="0" applyNumberFormat="1" applyFill="1" applyBorder="1" applyAlignment="1">
      <alignment horizontal="right" vertical="center"/>
    </xf>
    <xf numFmtId="165" fontId="17" fillId="35" borderId="0" xfId="0" applyNumberFormat="1" applyFont="1" applyFill="1" applyBorder="1" applyAlignment="1">
      <alignment horizontal="center" vertical="center"/>
    </xf>
    <xf numFmtId="14" fontId="17" fillId="34" borderId="19" xfId="0" applyNumberFormat="1" applyFont="1" applyFill="1" applyBorder="1" applyAlignment="1">
      <alignment horizontal="left" vertical="center"/>
    </xf>
    <xf numFmtId="165" fontId="15" fillId="33" borderId="0" xfId="0" applyNumberFormat="1" applyFont="1" applyFill="1" applyBorder="1" applyAlignment="1">
      <alignment horizontal="left" vertical="center"/>
    </xf>
    <xf numFmtId="2" fontId="50" fillId="35" borderId="0" xfId="0" applyFont="1" applyFill="1" applyBorder="1" applyAlignment="1">
      <alignment horizontal="center" vertical="center"/>
    </xf>
    <xf numFmtId="2" fontId="51" fillId="35" borderId="0" xfId="0" applyFont="1" applyFill="1" applyAlignment="1">
      <alignment horizontal="center" vertical="center"/>
    </xf>
    <xf numFmtId="165" fontId="15" fillId="35" borderId="0" xfId="0" applyNumberFormat="1" applyFont="1" applyFill="1" applyBorder="1" applyAlignment="1">
      <alignment horizontal="center" vertical="center"/>
    </xf>
    <xf numFmtId="2" fontId="20" fillId="35" borderId="0" xfId="0" applyFont="1" applyFill="1" applyBorder="1" applyAlignment="1">
      <alignment horizontal="center" vertical="center"/>
    </xf>
    <xf numFmtId="2" fontId="0" fillId="33" borderId="24" xfId="0" applyFill="1" applyBorder="1" applyAlignment="1">
      <alignment horizontal="center" vertical="center"/>
    </xf>
    <xf numFmtId="2" fontId="15" fillId="33" borderId="22" xfId="0" applyFont="1" applyFill="1" applyBorder="1" applyAlignment="1">
      <alignment horizontal="center" vertical="center"/>
    </xf>
    <xf numFmtId="171" fontId="48" fillId="33" borderId="25" xfId="0" applyNumberFormat="1" applyFont="1" applyFill="1" applyBorder="1" applyAlignment="1">
      <alignment horizontal="right" vertical="center"/>
    </xf>
    <xf numFmtId="2" fontId="37" fillId="33" borderId="26" xfId="0" applyFont="1" applyFill="1" applyBorder="1" applyAlignment="1">
      <alignment horizontal="center" vertical="center"/>
    </xf>
    <xf numFmtId="2" fontId="37" fillId="33" borderId="18" xfId="0" applyFont="1" applyFill="1" applyBorder="1" applyAlignment="1">
      <alignment horizontal="center" vertical="center"/>
    </xf>
    <xf numFmtId="2" fontId="37" fillId="33" borderId="27" xfId="0" applyFont="1" applyFill="1" applyBorder="1" applyAlignment="1">
      <alignment horizontal="center" vertical="center"/>
    </xf>
    <xf numFmtId="173" fontId="17" fillId="35" borderId="0" xfId="0" applyNumberFormat="1" applyFont="1" applyFill="1" applyBorder="1" applyAlignment="1">
      <alignment horizontal="left" vertical="center"/>
    </xf>
    <xf numFmtId="2" fontId="37" fillId="35" borderId="0" xfId="0" applyFont="1" applyFill="1" applyBorder="1" applyAlignment="1">
      <alignment horizontal="left" vertical="center"/>
    </xf>
    <xf numFmtId="2" fontId="33" fillId="35" borderId="0" xfId="0" applyFont="1" applyFill="1" applyBorder="1" applyAlignment="1">
      <alignment horizontal="center" vertical="center"/>
    </xf>
    <xf numFmtId="14" fontId="17" fillId="34" borderId="19" xfId="0" applyNumberFormat="1" applyFont="1" applyFill="1" applyBorder="1" applyAlignment="1" applyProtection="1">
      <alignment horizontal="left" vertical="center"/>
      <protection/>
    </xf>
    <xf numFmtId="165" fontId="59" fillId="33" borderId="0" xfId="0" applyNumberFormat="1" applyFont="1" applyFill="1" applyBorder="1" applyAlignment="1" applyProtection="1">
      <alignment horizontal="left" vertical="center"/>
      <protection locked="0"/>
    </xf>
    <xf numFmtId="165" fontId="59" fillId="33" borderId="14" xfId="0" applyNumberFormat="1" applyFont="1" applyFill="1" applyBorder="1" applyAlignment="1" applyProtection="1">
      <alignment horizontal="left" vertical="center"/>
      <protection locked="0"/>
    </xf>
    <xf numFmtId="2" fontId="59" fillId="33" borderId="0" xfId="0" applyFont="1" applyFill="1" applyAlignment="1" applyProtection="1">
      <alignment horizontal="left" vertical="center"/>
      <protection locked="0"/>
    </xf>
    <xf numFmtId="165" fontId="59" fillId="35" borderId="0" xfId="0" applyNumberFormat="1" applyFont="1" applyFill="1" applyBorder="1" applyAlignment="1" applyProtection="1">
      <alignment horizontal="left" vertical="center"/>
      <protection locked="0"/>
    </xf>
    <xf numFmtId="2" fontId="59" fillId="35" borderId="0" xfId="0" applyFont="1" applyFill="1" applyBorder="1" applyAlignment="1" applyProtection="1">
      <alignment horizontal="left" vertical="center"/>
      <protection locked="0"/>
    </xf>
    <xf numFmtId="173" fontId="59" fillId="35" borderId="0" xfId="0" applyNumberFormat="1" applyFont="1" applyFill="1" applyBorder="1" applyAlignment="1" applyProtection="1">
      <alignment horizontal="left" vertical="center"/>
      <protection locked="0"/>
    </xf>
    <xf numFmtId="171" fontId="59" fillId="33" borderId="0" xfId="0" applyNumberFormat="1" applyFont="1" applyFill="1" applyBorder="1" applyAlignment="1" applyProtection="1">
      <alignment horizontal="left" vertical="center"/>
      <protection locked="0"/>
    </xf>
    <xf numFmtId="165" fontId="20" fillId="35" borderId="0" xfId="0" applyNumberFormat="1" applyFont="1" applyFill="1" applyBorder="1" applyAlignment="1">
      <alignment horizontal="left" vertical="center"/>
    </xf>
    <xf numFmtId="1" fontId="20" fillId="35" borderId="0" xfId="0" applyNumberFormat="1" applyFont="1" applyFill="1" applyBorder="1" applyAlignment="1">
      <alignment horizontal="center"/>
    </xf>
    <xf numFmtId="165" fontId="20" fillId="35" borderId="0" xfId="0" applyNumberFormat="1" applyFont="1" applyFill="1" applyBorder="1" applyAlignment="1">
      <alignment horizontal="right" vertical="center"/>
    </xf>
    <xf numFmtId="2" fontId="20" fillId="35" borderId="0" xfId="0" applyFont="1" applyFill="1" applyBorder="1" applyAlignment="1">
      <alignment horizontal="right" vertical="center"/>
    </xf>
    <xf numFmtId="165" fontId="20" fillId="35" borderId="0" xfId="0" applyNumberFormat="1" applyFont="1" applyFill="1" applyBorder="1" applyAlignment="1">
      <alignment horizontal="center" vertical="center"/>
    </xf>
    <xf numFmtId="2" fontId="20" fillId="35" borderId="0" xfId="0" applyFont="1" applyFill="1" applyBorder="1" applyAlignment="1">
      <alignment horizontal="center"/>
    </xf>
    <xf numFmtId="165" fontId="62" fillId="35" borderId="0" xfId="0" applyNumberFormat="1" applyFont="1" applyFill="1" applyAlignment="1">
      <alignment vertical="center"/>
    </xf>
    <xf numFmtId="2" fontId="33" fillId="35" borderId="0" xfId="0" applyFont="1" applyFill="1" applyAlignment="1">
      <alignment horizontal="center" vertical="center"/>
    </xf>
    <xf numFmtId="2" fontId="0" fillId="34" borderId="0" xfId="0" applyNumberFormat="1" applyFont="1" applyFill="1" applyBorder="1" applyAlignment="1" applyProtection="1">
      <alignment horizontal="center" vertical="center"/>
      <protection locked="0"/>
    </xf>
    <xf numFmtId="2" fontId="16" fillId="34" borderId="0" xfId="0" applyNumberFormat="1" applyFont="1" applyFill="1" applyBorder="1" applyAlignment="1" applyProtection="1">
      <alignment horizontal="center" vertical="center"/>
      <protection locked="0"/>
    </xf>
    <xf numFmtId="2" fontId="35" fillId="34" borderId="0" xfId="0" applyNumberFormat="1" applyFont="1" applyFill="1" applyBorder="1" applyAlignment="1" applyProtection="1">
      <alignment horizontal="center" vertical="center"/>
      <protection hidden="1" locked="0"/>
    </xf>
    <xf numFmtId="2" fontId="0" fillId="34" borderId="0" xfId="0" applyFont="1" applyFill="1" applyBorder="1" applyAlignment="1" applyProtection="1">
      <alignment horizontal="left" vertical="center"/>
      <protection hidden="1" locked="0"/>
    </xf>
    <xf numFmtId="2" fontId="0" fillId="34" borderId="0" xfId="0" applyFill="1" applyBorder="1" applyAlignment="1" applyProtection="1">
      <alignment horizontal="center" vertical="center"/>
      <protection locked="0"/>
    </xf>
    <xf numFmtId="2" fontId="35" fillId="34" borderId="0" xfId="0" applyNumberFormat="1" applyFont="1" applyFill="1" applyBorder="1" applyAlignment="1" applyProtection="1">
      <alignment horizontal="center" vertical="center"/>
      <protection locked="0"/>
    </xf>
    <xf numFmtId="2" fontId="16" fillId="34" borderId="0" xfId="0" applyFont="1" applyFill="1" applyBorder="1" applyAlignment="1" applyProtection="1">
      <alignment horizontal="center" vertical="center"/>
      <protection locked="0"/>
    </xf>
    <xf numFmtId="2" fontId="15" fillId="34" borderId="0" xfId="0" applyFont="1" applyFill="1" applyBorder="1" applyAlignment="1">
      <alignment horizontal="center" vertical="center"/>
    </xf>
    <xf numFmtId="170" fontId="8" fillId="34" borderId="18" xfId="0" applyNumberFormat="1" applyFont="1" applyFill="1" applyBorder="1" applyAlignment="1" applyProtection="1">
      <alignment horizontal="left"/>
      <protection locked="0"/>
    </xf>
    <xf numFmtId="2" fontId="0" fillId="34" borderId="0" xfId="0" applyFill="1" applyAlignment="1">
      <alignment horizontal="center" vertical="center"/>
    </xf>
    <xf numFmtId="2" fontId="0" fillId="34" borderId="0" xfId="0" applyFont="1" applyFill="1" applyBorder="1" applyAlignment="1">
      <alignment horizontal="center" vertical="center"/>
    </xf>
    <xf numFmtId="2" fontId="0" fillId="34" borderId="0" xfId="0" applyFont="1" applyFill="1" applyAlignment="1">
      <alignment horizontal="center" vertical="center"/>
    </xf>
    <xf numFmtId="2" fontId="0" fillId="34" borderId="0" xfId="0" applyFont="1" applyFill="1" applyAlignment="1">
      <alignment horizontal="center" vertical="center"/>
    </xf>
    <xf numFmtId="2" fontId="0" fillId="34" borderId="0" xfId="0" applyFont="1" applyFill="1" applyBorder="1" applyAlignment="1" quotePrefix="1">
      <alignment horizontal="center" vertical="center"/>
    </xf>
    <xf numFmtId="2" fontId="0" fillId="34" borderId="0" xfId="0" applyFont="1" applyFill="1" applyBorder="1" applyAlignment="1">
      <alignment horizontal="center" vertical="center"/>
    </xf>
    <xf numFmtId="2" fontId="15" fillId="34" borderId="0" xfId="0" applyFont="1" applyFill="1" applyAlignment="1">
      <alignment horizontal="center" vertical="center"/>
    </xf>
    <xf numFmtId="2" fontId="0" fillId="34" borderId="0" xfId="0" applyFill="1" applyAlignment="1">
      <alignment horizontal="center" vertical="center"/>
    </xf>
    <xf numFmtId="170" fontId="8" fillId="34" borderId="18" xfId="0" applyNumberFormat="1" applyFont="1" applyFill="1" applyBorder="1" applyAlignment="1" applyProtection="1">
      <alignment horizontal="left"/>
      <protection/>
    </xf>
    <xf numFmtId="2" fontId="0" fillId="34" borderId="0" xfId="0" applyFill="1" applyAlignment="1" applyProtection="1">
      <alignment horizontal="center" vertical="center"/>
      <protection/>
    </xf>
    <xf numFmtId="2" fontId="0" fillId="34" borderId="0" xfId="0" applyFill="1" applyAlignment="1">
      <alignment horizontal="right" vertical="center"/>
    </xf>
    <xf numFmtId="2" fontId="0" fillId="34" borderId="20" xfId="0" applyFont="1" applyFill="1" applyBorder="1" applyAlignment="1">
      <alignment horizontal="center" vertical="center"/>
    </xf>
    <xf numFmtId="2" fontId="0" fillId="34" borderId="21" xfId="0" applyFont="1" applyFill="1" applyBorder="1" applyAlignment="1">
      <alignment horizontal="center" vertical="center"/>
    </xf>
    <xf numFmtId="2" fontId="0" fillId="34" borderId="22" xfId="0" applyFont="1" applyFill="1" applyBorder="1" applyAlignment="1">
      <alignment horizontal="center" vertical="center"/>
    </xf>
    <xf numFmtId="2" fontId="15" fillId="34" borderId="0" xfId="0" applyFont="1" applyFill="1" applyBorder="1" applyAlignment="1">
      <alignment horizontal="right" vertical="center"/>
    </xf>
    <xf numFmtId="165" fontId="15" fillId="34" borderId="0" xfId="0" applyNumberFormat="1" applyFont="1" applyFill="1" applyBorder="1" applyAlignment="1">
      <alignment horizontal="left" vertical="center"/>
    </xf>
    <xf numFmtId="2" fontId="15" fillId="34" borderId="0" xfId="0" applyFont="1" applyFill="1" applyBorder="1" applyAlignment="1">
      <alignment horizontal="left" vertical="center"/>
    </xf>
    <xf numFmtId="2" fontId="15" fillId="34" borderId="0" xfId="0" applyFont="1" applyFill="1" applyBorder="1" applyAlignment="1">
      <alignment horizontal="center" vertical="center"/>
    </xf>
    <xf numFmtId="2" fontId="28" fillId="34" borderId="0" xfId="0" applyFont="1" applyFill="1" applyBorder="1" applyAlignment="1">
      <alignment horizontal="right" vertical="center"/>
    </xf>
    <xf numFmtId="1" fontId="15" fillId="34" borderId="0" xfId="0" applyNumberFormat="1" applyFont="1" applyFill="1" applyBorder="1" applyAlignment="1">
      <alignment horizontal="left" vertical="center"/>
    </xf>
    <xf numFmtId="2" fontId="0" fillId="34" borderId="23" xfId="0" applyFont="1" applyFill="1" applyBorder="1" applyAlignment="1">
      <alignment horizontal="center" vertical="center"/>
    </xf>
    <xf numFmtId="2" fontId="0" fillId="34" borderId="22" xfId="0" applyFont="1" applyFill="1" applyBorder="1" applyAlignment="1">
      <alignment horizontal="center" vertical="center"/>
    </xf>
    <xf numFmtId="2" fontId="28" fillId="34" borderId="0" xfId="0" applyFont="1" applyFill="1" applyBorder="1" applyAlignment="1">
      <alignment horizontal="center" vertical="center"/>
    </xf>
    <xf numFmtId="2" fontId="0" fillId="34" borderId="0" xfId="0" applyFont="1" applyFill="1" applyAlignment="1">
      <alignment horizontal="center" vertical="center"/>
    </xf>
    <xf numFmtId="2" fontId="0" fillId="34" borderId="0" xfId="0" applyFont="1" applyFill="1" applyAlignment="1">
      <alignment horizontal="center" vertical="center"/>
    </xf>
    <xf numFmtId="2" fontId="55" fillId="34" borderId="0" xfId="0" applyFont="1" applyFill="1" applyBorder="1" applyAlignment="1">
      <alignment horizontal="left" vertical="center"/>
    </xf>
    <xf numFmtId="2" fontId="0" fillId="34" borderId="0" xfId="0" applyFont="1" applyFill="1" applyBorder="1" applyAlignment="1">
      <alignment horizontal="center" vertical="center"/>
    </xf>
    <xf numFmtId="2" fontId="0" fillId="34" borderId="23" xfId="0" applyFont="1" applyFill="1" applyBorder="1" applyAlignment="1">
      <alignment horizontal="center" vertical="center"/>
    </xf>
    <xf numFmtId="2" fontId="37" fillId="34" borderId="0" xfId="0" applyFont="1" applyFill="1" applyBorder="1" applyAlignment="1">
      <alignment horizontal="center" vertical="center"/>
    </xf>
    <xf numFmtId="2" fontId="0" fillId="34" borderId="0" xfId="0" applyFont="1" applyFill="1" applyBorder="1" applyAlignment="1">
      <alignment horizontal="center" vertical="center"/>
    </xf>
    <xf numFmtId="171" fontId="15" fillId="34" borderId="0" xfId="0" applyNumberFormat="1" applyFont="1" applyFill="1" applyBorder="1" applyAlignment="1">
      <alignment horizontal="left" vertical="center"/>
    </xf>
    <xf numFmtId="171" fontId="15" fillId="34" borderId="0" xfId="0" applyNumberFormat="1" applyFont="1" applyFill="1" applyBorder="1" applyAlignment="1">
      <alignment horizontal="center" vertical="center"/>
    </xf>
    <xf numFmtId="2" fontId="0" fillId="34" borderId="0" xfId="0" applyFont="1" applyFill="1" applyBorder="1" applyAlignment="1">
      <alignment horizontal="center" vertical="center"/>
    </xf>
    <xf numFmtId="1" fontId="37" fillId="34" borderId="0" xfId="0" applyNumberFormat="1" applyFont="1" applyFill="1" applyAlignment="1">
      <alignment horizontal="left" vertical="center"/>
    </xf>
    <xf numFmtId="2" fontId="0" fillId="34" borderId="0" xfId="0" applyFont="1" applyFill="1" applyBorder="1" applyAlignment="1">
      <alignment horizontal="left" vertical="center"/>
    </xf>
    <xf numFmtId="2" fontId="0" fillId="34" borderId="0" xfId="0" applyFont="1" applyFill="1" applyBorder="1" applyAlignment="1">
      <alignment horizontal="right" vertical="center"/>
    </xf>
    <xf numFmtId="1" fontId="0" fillId="34" borderId="0" xfId="0" applyNumberFormat="1" applyFont="1" applyFill="1" applyBorder="1" applyAlignment="1">
      <alignment horizontal="left" vertical="center"/>
    </xf>
    <xf numFmtId="1" fontId="0" fillId="34" borderId="0" xfId="0" applyNumberFormat="1" applyFont="1" applyFill="1" applyBorder="1" applyAlignment="1">
      <alignment horizontal="right" vertical="center"/>
    </xf>
    <xf numFmtId="165" fontId="15" fillId="34" borderId="0" xfId="0" applyNumberFormat="1" applyFont="1" applyFill="1" applyBorder="1" applyAlignment="1">
      <alignment horizontal="center" vertical="center"/>
    </xf>
    <xf numFmtId="1" fontId="15" fillId="34" borderId="0" xfId="0" applyNumberFormat="1" applyFont="1" applyFill="1" applyBorder="1" applyAlignment="1">
      <alignment horizontal="center"/>
    </xf>
    <xf numFmtId="2" fontId="50" fillId="34" borderId="0" xfId="0" applyFont="1" applyFill="1" applyBorder="1" applyAlignment="1">
      <alignment horizontal="center" vertical="center"/>
    </xf>
    <xf numFmtId="2" fontId="51" fillId="34" borderId="0" xfId="0" applyFont="1" applyFill="1" applyAlignment="1">
      <alignment horizontal="center" vertical="center"/>
    </xf>
    <xf numFmtId="165" fontId="15" fillId="34" borderId="0" xfId="0" applyNumberFormat="1" applyFont="1" applyFill="1" applyBorder="1" applyAlignment="1">
      <alignment horizontal="center" vertical="center"/>
    </xf>
    <xf numFmtId="2" fontId="15" fillId="34" borderId="0" xfId="0" applyFont="1" applyFill="1" applyBorder="1" applyAlignment="1">
      <alignment horizontal="center"/>
    </xf>
    <xf numFmtId="2" fontId="30" fillId="34" borderId="0" xfId="0" applyNumberFormat="1" applyFont="1" applyFill="1" applyBorder="1" applyAlignment="1">
      <alignment horizontal="center" vertical="center"/>
    </xf>
    <xf numFmtId="2" fontId="0" fillId="34" borderId="0" xfId="0" applyFont="1" applyFill="1" applyBorder="1" applyAlignment="1">
      <alignment horizontal="right" vertical="center"/>
    </xf>
    <xf numFmtId="2" fontId="0" fillId="34" borderId="28" xfId="0" applyFill="1" applyBorder="1" applyAlignment="1">
      <alignment horizontal="center" vertical="center"/>
    </xf>
    <xf numFmtId="2" fontId="0" fillId="34" borderId="29" xfId="0" applyFill="1" applyBorder="1" applyAlignment="1">
      <alignment horizontal="right" vertical="center"/>
    </xf>
    <xf numFmtId="2" fontId="53" fillId="34" borderId="0" xfId="0" applyFont="1" applyFill="1" applyBorder="1" applyAlignment="1">
      <alignment horizontal="right" vertical="center"/>
    </xf>
    <xf numFmtId="2" fontId="53" fillId="34" borderId="28" xfId="0" applyFont="1" applyFill="1" applyBorder="1" applyAlignment="1">
      <alignment horizontal="left" vertical="center"/>
    </xf>
    <xf numFmtId="2" fontId="53" fillId="34" borderId="30" xfId="0" applyFont="1" applyFill="1" applyBorder="1" applyAlignment="1">
      <alignment horizontal="right" vertical="center"/>
    </xf>
    <xf numFmtId="2" fontId="15" fillId="34" borderId="0" xfId="0" applyFont="1" applyFill="1" applyAlignment="1">
      <alignment horizontal="center" vertical="center"/>
    </xf>
    <xf numFmtId="2" fontId="15" fillId="34" borderId="0" xfId="0" applyFont="1" applyFill="1" applyAlignment="1">
      <alignment horizontal="left" vertical="top"/>
    </xf>
    <xf numFmtId="2" fontId="0" fillId="34" borderId="0" xfId="0" applyFill="1" applyAlignment="1">
      <alignment horizontal="center" vertical="top"/>
    </xf>
    <xf numFmtId="2" fontId="16" fillId="34" borderId="0" xfId="0" applyFont="1" applyFill="1" applyAlignment="1">
      <alignment horizontal="center" vertical="top"/>
    </xf>
    <xf numFmtId="2" fontId="7" fillId="34" borderId="0" xfId="0" applyFont="1" applyFill="1" applyAlignment="1">
      <alignment horizontal="left" vertical="top"/>
    </xf>
    <xf numFmtId="2" fontId="0" fillId="34" borderId="0" xfId="0" applyFill="1" applyAlignment="1">
      <alignment horizontal="left" vertical="center"/>
    </xf>
    <xf numFmtId="2" fontId="58" fillId="34" borderId="0" xfId="0" applyFont="1" applyFill="1" applyAlignment="1">
      <alignment horizontal="center" vertical="center"/>
    </xf>
    <xf numFmtId="2" fontId="0" fillId="34" borderId="0" xfId="0" applyNumberFormat="1" applyFill="1" applyBorder="1" applyAlignment="1">
      <alignment horizontal="left" vertical="center"/>
    </xf>
    <xf numFmtId="167" fontId="30" fillId="34" borderId="29" xfId="0" applyNumberFormat="1" applyFont="1" applyFill="1" applyBorder="1" applyAlignment="1" applyProtection="1">
      <alignment horizontal="left" vertical="center"/>
      <protection hidden="1"/>
    </xf>
    <xf numFmtId="167" fontId="63" fillId="34" borderId="29" xfId="0" applyNumberFormat="1" applyFont="1" applyFill="1" applyBorder="1" applyAlignment="1" applyProtection="1">
      <alignment horizontal="left" vertical="center"/>
      <protection hidden="1"/>
    </xf>
    <xf numFmtId="2" fontId="0" fillId="34" borderId="0" xfId="0" applyNumberFormat="1" applyFill="1" applyBorder="1" applyAlignment="1">
      <alignment horizontal="right" vertical="center"/>
    </xf>
    <xf numFmtId="2" fontId="0" fillId="34" borderId="28" xfId="0" applyNumberFormat="1" applyFill="1" applyBorder="1" applyAlignment="1">
      <alignment horizontal="left" vertical="center"/>
    </xf>
    <xf numFmtId="2" fontId="0" fillId="34" borderId="0" xfId="0" applyNumberFormat="1" applyFill="1" applyAlignment="1">
      <alignment horizontal="center" vertical="center"/>
    </xf>
    <xf numFmtId="2" fontId="0" fillId="34" borderId="29" xfId="0" applyNumberFormat="1" applyFill="1" applyBorder="1" applyAlignment="1">
      <alignment horizontal="right" vertical="center"/>
    </xf>
    <xf numFmtId="2" fontId="0" fillId="34" borderId="28" xfId="0" applyNumberFormat="1" applyFill="1" applyBorder="1" applyAlignment="1">
      <alignment horizontal="center" vertical="center"/>
    </xf>
    <xf numFmtId="2" fontId="26" fillId="34" borderId="0" xfId="0" applyNumberFormat="1" applyFont="1" applyFill="1" applyAlignment="1">
      <alignment horizontal="right" vertical="center"/>
    </xf>
    <xf numFmtId="2" fontId="0" fillId="34" borderId="28" xfId="0" applyNumberFormat="1" applyFont="1" applyFill="1" applyBorder="1" applyAlignment="1">
      <alignment horizontal="left" vertical="center"/>
    </xf>
    <xf numFmtId="2" fontId="53" fillId="34" borderId="0" xfId="0" applyNumberFormat="1" applyFont="1" applyFill="1" applyBorder="1" applyAlignment="1">
      <alignment horizontal="right" vertical="center"/>
    </xf>
    <xf numFmtId="2" fontId="53" fillId="34" borderId="28" xfId="0" applyNumberFormat="1" applyFont="1" applyFill="1" applyBorder="1" applyAlignment="1">
      <alignment horizontal="left" vertical="center"/>
    </xf>
    <xf numFmtId="2" fontId="53" fillId="34" borderId="18" xfId="0" applyNumberFormat="1" applyFont="1" applyFill="1" applyBorder="1" applyAlignment="1">
      <alignment horizontal="left" vertical="center"/>
    </xf>
    <xf numFmtId="2" fontId="53" fillId="34" borderId="30" xfId="0" applyNumberFormat="1" applyFont="1" applyFill="1" applyBorder="1" applyAlignment="1">
      <alignment horizontal="right" vertical="center"/>
    </xf>
    <xf numFmtId="167" fontId="30" fillId="34" borderId="0" xfId="0" applyNumberFormat="1" applyFont="1" applyFill="1" applyBorder="1" applyAlignment="1" applyProtection="1">
      <alignment horizontal="left" vertical="center"/>
      <protection hidden="1"/>
    </xf>
    <xf numFmtId="167" fontId="63" fillId="34" borderId="0" xfId="0" applyNumberFormat="1" applyFont="1" applyFill="1" applyBorder="1" applyAlignment="1" applyProtection="1">
      <alignment horizontal="left" vertical="center"/>
      <protection hidden="1"/>
    </xf>
    <xf numFmtId="2" fontId="6" fillId="34" borderId="0" xfId="0" applyNumberFormat="1" applyFont="1" applyFill="1" applyBorder="1" applyAlignment="1">
      <alignment horizontal="left" vertical="center"/>
    </xf>
    <xf numFmtId="167" fontId="0" fillId="34" borderId="0" xfId="0" applyNumberFormat="1" applyFill="1" applyAlignment="1">
      <alignment horizontal="left" vertical="center"/>
    </xf>
    <xf numFmtId="2" fontId="6" fillId="34" borderId="0" xfId="0" applyFont="1" applyFill="1" applyAlignment="1">
      <alignment horizontal="left" vertical="center"/>
    </xf>
    <xf numFmtId="2" fontId="16" fillId="34" borderId="0" xfId="0" applyNumberFormat="1" applyFont="1" applyFill="1" applyBorder="1" applyAlignment="1" applyProtection="1">
      <alignment horizontal="center" vertical="center"/>
      <protection hidden="1" locked="0"/>
    </xf>
    <xf numFmtId="2" fontId="0" fillId="34" borderId="0" xfId="0" applyFont="1" applyFill="1" applyBorder="1" applyAlignment="1" applyProtection="1">
      <alignment horizontal="center" vertical="center"/>
      <protection hidden="1"/>
    </xf>
    <xf numFmtId="2" fontId="16" fillId="34" borderId="0" xfId="0" applyNumberFormat="1" applyFont="1" applyFill="1" applyBorder="1" applyAlignment="1" applyProtection="1">
      <alignment horizontal="center" vertical="center"/>
      <protection hidden="1"/>
    </xf>
    <xf numFmtId="2" fontId="19" fillId="34" borderId="0" xfId="0" applyFont="1" applyFill="1" applyBorder="1" applyAlignment="1">
      <alignment horizontal="left"/>
    </xf>
    <xf numFmtId="2" fontId="19" fillId="34" borderId="0" xfId="0" applyFont="1" applyFill="1" applyBorder="1" applyAlignment="1">
      <alignment horizontal="left" vertical="center"/>
    </xf>
    <xf numFmtId="2" fontId="8" fillId="34" borderId="0" xfId="0" applyFont="1" applyFill="1" applyBorder="1" applyAlignment="1" applyProtection="1">
      <alignment horizontal="center" vertical="center"/>
      <protection locked="0"/>
    </xf>
    <xf numFmtId="2" fontId="42" fillId="34" borderId="0" xfId="0" applyFont="1" applyFill="1" applyAlignment="1">
      <alignment horizontal="center" vertical="center"/>
    </xf>
    <xf numFmtId="2" fontId="64" fillId="34" borderId="28" xfId="0" applyNumberFormat="1" applyFont="1" applyFill="1" applyBorder="1" applyAlignment="1" applyProtection="1">
      <alignment horizontal="left" vertical="center"/>
      <protection/>
    </xf>
    <xf numFmtId="2" fontId="33" fillId="34" borderId="0" xfId="0" applyFont="1" applyFill="1" applyAlignment="1">
      <alignment horizontal="right" vertical="center"/>
    </xf>
    <xf numFmtId="165" fontId="0" fillId="34" borderId="0" xfId="0" applyNumberFormat="1" applyFill="1" applyBorder="1" applyAlignment="1">
      <alignment horizontal="center" vertical="center"/>
    </xf>
    <xf numFmtId="165" fontId="0" fillId="34" borderId="0" xfId="0" applyNumberFormat="1" applyFill="1" applyBorder="1" applyAlignment="1">
      <alignment horizontal="center" vertical="center"/>
    </xf>
    <xf numFmtId="165" fontId="0" fillId="34" borderId="0" xfId="0" applyNumberFormat="1" applyFont="1" applyFill="1" applyBorder="1" applyAlignment="1" applyProtection="1">
      <alignment horizontal="center" vertical="center"/>
      <protection hidden="1"/>
    </xf>
    <xf numFmtId="165" fontId="0" fillId="34" borderId="0" xfId="0" applyNumberFormat="1" applyFont="1" applyFill="1" applyBorder="1" applyAlignment="1" applyProtection="1">
      <alignment horizontal="center" vertical="center"/>
      <protection hidden="1"/>
    </xf>
    <xf numFmtId="165" fontId="0" fillId="34" borderId="0" xfId="0" applyNumberFormat="1" applyFont="1" applyFill="1" applyBorder="1" applyAlignment="1">
      <alignment horizontal="center" vertical="center"/>
    </xf>
    <xf numFmtId="165" fontId="0" fillId="34" borderId="0" xfId="0" applyNumberFormat="1" applyFont="1" applyFill="1" applyBorder="1" applyAlignment="1">
      <alignment horizontal="center" vertical="center"/>
    </xf>
    <xf numFmtId="1" fontId="43" fillId="35" borderId="19" xfId="0" applyNumberFormat="1" applyFont="1" applyFill="1" applyBorder="1" applyAlignment="1">
      <alignment horizontal="center" vertical="center"/>
    </xf>
    <xf numFmtId="2" fontId="23" fillId="35" borderId="0" xfId="0" applyFont="1" applyFill="1" applyAlignment="1">
      <alignment horizontal="right" vertical="center"/>
    </xf>
    <xf numFmtId="2" fontId="23" fillId="35" borderId="0" xfId="0" applyFont="1" applyFill="1" applyBorder="1" applyAlignment="1">
      <alignment horizontal="left" vertical="center"/>
    </xf>
    <xf numFmtId="2" fontId="0" fillId="34" borderId="0" xfId="0" applyFill="1" applyBorder="1" applyAlignment="1" quotePrefix="1">
      <alignment horizontal="right" vertical="center"/>
    </xf>
    <xf numFmtId="2" fontId="37" fillId="34" borderId="0" xfId="0" applyFont="1" applyFill="1" applyBorder="1" applyAlignment="1">
      <alignment horizontal="left" vertical="center"/>
    </xf>
    <xf numFmtId="2" fontId="67" fillId="35" borderId="0" xfId="0" applyFont="1" applyFill="1" applyAlignment="1">
      <alignment horizontal="center" vertical="center"/>
    </xf>
    <xf numFmtId="1" fontId="43" fillId="35" borderId="0" xfId="0" applyNumberFormat="1" applyFont="1" applyFill="1" applyBorder="1" applyAlignment="1">
      <alignment horizontal="left" vertical="center"/>
    </xf>
    <xf numFmtId="1" fontId="15" fillId="34" borderId="0" xfId="0" applyNumberFormat="1" applyFont="1" applyFill="1" applyBorder="1" applyAlignment="1">
      <alignment horizontal="right" vertical="center"/>
    </xf>
    <xf numFmtId="2" fontId="16" fillId="0" borderId="0" xfId="0" applyFont="1" applyFill="1" applyBorder="1" applyAlignment="1">
      <alignment horizontal="center" vertical="center"/>
    </xf>
    <xf numFmtId="167" fontId="30" fillId="34" borderId="0" xfId="0" applyNumberFormat="1" applyFont="1" applyFill="1" applyBorder="1" applyAlignment="1">
      <alignment horizontal="center" vertical="center"/>
    </xf>
    <xf numFmtId="167" fontId="0" fillId="0" borderId="0" xfId="0" applyNumberFormat="1" applyFont="1" applyAlignment="1">
      <alignment horizontal="center" vertical="center"/>
    </xf>
    <xf numFmtId="2" fontId="0" fillId="0" borderId="0" xfId="0" applyFont="1" applyAlignment="1">
      <alignment horizontal="left" vertical="center"/>
    </xf>
    <xf numFmtId="1" fontId="15" fillId="34" borderId="0" xfId="0" applyNumberFormat="1" applyFont="1" applyFill="1" applyBorder="1" applyAlignment="1">
      <alignment horizontal="center" vertical="center"/>
    </xf>
    <xf numFmtId="1" fontId="0" fillId="0" borderId="0" xfId="0" applyNumberFormat="1" applyAlignment="1">
      <alignment horizontal="center" vertical="center"/>
    </xf>
    <xf numFmtId="2" fontId="25" fillId="0" borderId="0" xfId="0" applyFont="1" applyAlignment="1">
      <alignment horizontal="center" vertical="center"/>
    </xf>
    <xf numFmtId="171" fontId="44" fillId="34" borderId="0" xfId="0" applyNumberFormat="1" applyFont="1" applyFill="1" applyBorder="1" applyAlignment="1">
      <alignment horizontal="left" vertical="center"/>
    </xf>
    <xf numFmtId="4" fontId="34" fillId="34" borderId="0" xfId="0" applyNumberFormat="1" applyFont="1" applyFill="1" applyBorder="1" applyAlignment="1">
      <alignment horizontal="center" vertical="center"/>
    </xf>
    <xf numFmtId="2" fontId="34" fillId="34" borderId="0" xfId="0" applyFont="1" applyFill="1" applyAlignment="1">
      <alignment horizontal="center" vertical="center"/>
    </xf>
    <xf numFmtId="2" fontId="33" fillId="34" borderId="0" xfId="0" applyFont="1" applyFill="1" applyBorder="1" applyAlignment="1">
      <alignment horizontal="center"/>
    </xf>
    <xf numFmtId="2" fontId="34" fillId="34" borderId="23" xfId="0" applyFont="1" applyFill="1" applyBorder="1" applyAlignment="1">
      <alignment horizontal="center" vertical="center"/>
    </xf>
    <xf numFmtId="2" fontId="0" fillId="0" borderId="0" xfId="0" applyAlignment="1">
      <alignment horizontal="center" vertical="center"/>
    </xf>
    <xf numFmtId="2" fontId="9" fillId="34" borderId="0" xfId="0" applyFont="1" applyFill="1" applyBorder="1" applyAlignment="1">
      <alignment horizontal="center" vertical="center"/>
    </xf>
    <xf numFmtId="2" fontId="0" fillId="0" borderId="0" xfId="0" applyAlignment="1">
      <alignment horizontal="left" vertical="top" wrapText="1"/>
    </xf>
    <xf numFmtId="2" fontId="15" fillId="35" borderId="0" xfId="0" applyFont="1" applyFill="1" applyBorder="1" applyAlignment="1">
      <alignment horizontal="center" vertical="center"/>
    </xf>
    <xf numFmtId="2" fontId="44" fillId="35" borderId="0" xfId="0" applyFont="1" applyFill="1" applyBorder="1" applyAlignment="1">
      <alignment horizontal="center" vertical="center"/>
    </xf>
    <xf numFmtId="2" fontId="44" fillId="0" borderId="0" xfId="0" applyFont="1" applyFill="1" applyBorder="1" applyAlignment="1">
      <alignment horizontal="center" vertical="center"/>
    </xf>
    <xf numFmtId="2" fontId="15" fillId="0" borderId="0" xfId="0" applyFont="1" applyFill="1" applyBorder="1" applyAlignment="1">
      <alignment horizontal="center" vertical="center"/>
    </xf>
    <xf numFmtId="2" fontId="9" fillId="34" borderId="22" xfId="0" applyFont="1" applyFill="1" applyBorder="1" applyAlignment="1">
      <alignment horizontal="center" vertical="center"/>
    </xf>
    <xf numFmtId="2" fontId="33" fillId="34" borderId="0" xfId="0" applyFont="1" applyFill="1" applyBorder="1" applyAlignment="1">
      <alignment horizontal="center" vertical="center"/>
    </xf>
    <xf numFmtId="1" fontId="33" fillId="34" borderId="0" xfId="0" applyNumberFormat="1" applyFont="1" applyFill="1" applyAlignment="1">
      <alignment horizontal="center"/>
    </xf>
    <xf numFmtId="2" fontId="9" fillId="35" borderId="22" xfId="0" applyFont="1" applyFill="1" applyBorder="1" applyAlignment="1">
      <alignment horizontal="center" vertical="center"/>
    </xf>
    <xf numFmtId="2" fontId="9" fillId="35" borderId="0" xfId="0" applyFont="1" applyFill="1" applyBorder="1" applyAlignment="1">
      <alignment horizontal="center" vertical="center"/>
    </xf>
    <xf numFmtId="2" fontId="33" fillId="35" borderId="0" xfId="0" applyFont="1" applyFill="1" applyBorder="1" applyAlignment="1">
      <alignment horizontal="center" vertical="center"/>
    </xf>
    <xf numFmtId="165" fontId="11" fillId="33" borderId="11" xfId="0" applyNumberFormat="1" applyFont="1" applyFill="1" applyBorder="1" applyAlignment="1">
      <alignment horizontal="left" vertical="center"/>
    </xf>
    <xf numFmtId="2" fontId="15" fillId="33" borderId="11" xfId="0" applyFont="1" applyFill="1" applyBorder="1" applyAlignment="1">
      <alignment horizontal="right"/>
    </xf>
    <xf numFmtId="2" fontId="68" fillId="34" borderId="0" xfId="0" applyFont="1" applyFill="1" applyBorder="1" applyAlignment="1">
      <alignment horizontal="center" vertical="center"/>
    </xf>
    <xf numFmtId="165" fontId="15" fillId="33" borderId="0" xfId="0" applyNumberFormat="1" applyFont="1" applyFill="1" applyBorder="1" applyAlignment="1">
      <alignment horizontal="center" vertical="center"/>
    </xf>
    <xf numFmtId="2" fontId="0" fillId="0" borderId="0" xfId="0" applyFont="1" applyAlignment="1" applyProtection="1">
      <alignment horizontal="center" vertical="center"/>
      <protection locked="0"/>
    </xf>
    <xf numFmtId="2" fontId="23" fillId="33" borderId="0" xfId="0" applyFont="1" applyFill="1" applyBorder="1" applyAlignment="1">
      <alignment horizontal="left" vertical="center"/>
    </xf>
    <xf numFmtId="2" fontId="23" fillId="33" borderId="11" xfId="0" applyFont="1" applyFill="1" applyBorder="1" applyAlignment="1">
      <alignment horizontal="left" vertical="center"/>
    </xf>
    <xf numFmtId="2" fontId="0" fillId="33" borderId="0" xfId="0" applyFill="1" applyAlignment="1">
      <alignment horizontal="center" vertical="center"/>
    </xf>
    <xf numFmtId="2" fontId="69" fillId="33" borderId="14" xfId="0" applyFont="1" applyFill="1" applyBorder="1" applyAlignment="1">
      <alignment horizontal="center" vertical="center"/>
    </xf>
    <xf numFmtId="2" fontId="30" fillId="33" borderId="0" xfId="0" applyFont="1" applyFill="1" applyBorder="1" applyAlignment="1" applyProtection="1">
      <alignment horizontal="center" vertical="center"/>
      <protection locked="0"/>
    </xf>
    <xf numFmtId="165" fontId="33" fillId="35" borderId="0" xfId="0" applyNumberFormat="1" applyFont="1" applyFill="1" applyBorder="1" applyAlignment="1">
      <alignment horizontal="center" vertical="center"/>
    </xf>
    <xf numFmtId="165" fontId="33" fillId="35" borderId="0" xfId="0" applyNumberFormat="1" applyFont="1" applyFill="1" applyBorder="1" applyAlignment="1">
      <alignment horizontal="center"/>
    </xf>
    <xf numFmtId="2" fontId="42" fillId="33" borderId="11" xfId="0" applyFont="1" applyFill="1" applyBorder="1" applyAlignment="1">
      <alignment horizontal="left" vertical="center"/>
    </xf>
    <xf numFmtId="2" fontId="0" fillId="35" borderId="16" xfId="0" applyFill="1" applyBorder="1" applyAlignment="1">
      <alignment horizontal="left" vertical="center"/>
    </xf>
    <xf numFmtId="171" fontId="15" fillId="33" borderId="23" xfId="0" applyNumberFormat="1" applyFont="1" applyFill="1" applyBorder="1" applyAlignment="1">
      <alignment horizontal="right" vertical="center"/>
    </xf>
    <xf numFmtId="171" fontId="48" fillId="33" borderId="31" xfId="0" applyNumberFormat="1" applyFont="1" applyFill="1" applyBorder="1" applyAlignment="1">
      <alignment horizontal="right" vertical="center"/>
    </xf>
    <xf numFmtId="2" fontId="0" fillId="35" borderId="0" xfId="0" applyFill="1" applyAlignment="1">
      <alignment horizontal="left" vertical="center"/>
    </xf>
    <xf numFmtId="2" fontId="0" fillId="35" borderId="0" xfId="0" applyFill="1" applyAlignment="1">
      <alignment horizontal="right" vertical="center"/>
    </xf>
    <xf numFmtId="1" fontId="8" fillId="35" borderId="32" xfId="0" applyNumberFormat="1" applyFont="1" applyFill="1" applyBorder="1" applyAlignment="1" applyProtection="1">
      <alignment horizontal="center" vertical="center"/>
      <protection locked="0"/>
    </xf>
    <xf numFmtId="2" fontId="70" fillId="35" borderId="0" xfId="0" applyFont="1" applyFill="1" applyBorder="1" applyAlignment="1">
      <alignment horizontal="center"/>
    </xf>
    <xf numFmtId="1" fontId="59" fillId="0" borderId="0" xfId="0" applyNumberFormat="1" applyFont="1" applyFill="1" applyBorder="1" applyAlignment="1" applyProtection="1">
      <alignment horizontal="left" vertical="center"/>
      <protection locked="0"/>
    </xf>
    <xf numFmtId="165" fontId="37" fillId="35" borderId="22" xfId="0" applyNumberFormat="1" applyFont="1" applyFill="1" applyBorder="1" applyAlignment="1" applyProtection="1">
      <alignment horizontal="center"/>
      <protection/>
    </xf>
    <xf numFmtId="1" fontId="37" fillId="35" borderId="22" xfId="0" applyNumberFormat="1" applyFont="1" applyFill="1" applyBorder="1" applyAlignment="1" applyProtection="1">
      <alignment horizontal="center"/>
      <protection/>
    </xf>
    <xf numFmtId="2" fontId="0" fillId="34" borderId="26" xfId="0" applyFont="1" applyFill="1" applyBorder="1" applyAlignment="1" applyProtection="1">
      <alignment horizontal="center" vertical="center"/>
      <protection locked="0"/>
    </xf>
    <xf numFmtId="165" fontId="15" fillId="34" borderId="18" xfId="0" applyNumberFormat="1" applyFont="1" applyFill="1" applyBorder="1" applyAlignment="1" applyProtection="1">
      <alignment horizontal="center" vertical="center"/>
      <protection locked="0"/>
    </xf>
    <xf numFmtId="2" fontId="0" fillId="34" borderId="18" xfId="0" applyFont="1" applyFill="1" applyBorder="1" applyAlignment="1" applyProtection="1">
      <alignment horizontal="center" vertical="center"/>
      <protection locked="0"/>
    </xf>
    <xf numFmtId="2" fontId="0" fillId="34" borderId="33" xfId="0" applyFont="1" applyFill="1" applyBorder="1" applyAlignment="1" applyProtection="1">
      <alignment horizontal="center" vertical="center"/>
      <protection locked="0"/>
    </xf>
    <xf numFmtId="2" fontId="0" fillId="34" borderId="19" xfId="0" applyFont="1" applyFill="1" applyBorder="1" applyAlignment="1" applyProtection="1">
      <alignment horizontal="center" vertical="center"/>
      <protection locked="0"/>
    </xf>
    <xf numFmtId="2" fontId="15" fillId="34" borderId="19" xfId="0" applyFont="1" applyFill="1" applyBorder="1" applyAlignment="1" applyProtection="1">
      <alignment horizontal="left" vertical="center"/>
      <protection locked="0"/>
    </xf>
    <xf numFmtId="2" fontId="0" fillId="34" borderId="33" xfId="0" applyFont="1" applyFill="1" applyBorder="1" applyAlignment="1" applyProtection="1">
      <alignment horizontal="center" vertical="center"/>
      <protection locked="0"/>
    </xf>
    <xf numFmtId="2" fontId="0" fillId="34" borderId="19" xfId="0" applyFont="1" applyFill="1" applyBorder="1" applyAlignment="1" applyProtection="1">
      <alignment horizontal="center" vertical="center"/>
      <protection locked="0"/>
    </xf>
    <xf numFmtId="2" fontId="14" fillId="35" borderId="13" xfId="0" applyFont="1" applyFill="1" applyBorder="1" applyAlignment="1">
      <alignment horizontal="center" vertical="center"/>
    </xf>
    <xf numFmtId="2" fontId="14" fillId="35" borderId="14" xfId="0" applyFont="1" applyFill="1" applyBorder="1" applyAlignment="1">
      <alignment horizontal="center" vertical="center"/>
    </xf>
    <xf numFmtId="1" fontId="0" fillId="35" borderId="34" xfId="0" applyNumberFormat="1" applyFill="1" applyBorder="1" applyAlignment="1">
      <alignment horizontal="center" vertical="center"/>
    </xf>
    <xf numFmtId="2" fontId="0" fillId="35" borderId="35" xfId="0" applyFont="1" applyFill="1" applyBorder="1" applyAlignment="1">
      <alignment horizontal="left" vertical="center"/>
    </xf>
    <xf numFmtId="2" fontId="0" fillId="35" borderId="36" xfId="0" applyFill="1" applyBorder="1" applyAlignment="1">
      <alignment horizontal="center" vertical="center"/>
    </xf>
    <xf numFmtId="1" fontId="0" fillId="35" borderId="30" xfId="0" applyNumberFormat="1" applyFill="1" applyBorder="1" applyAlignment="1">
      <alignment horizontal="center" vertical="center"/>
    </xf>
    <xf numFmtId="2" fontId="0" fillId="35" borderId="18" xfId="0" applyFill="1" applyBorder="1" applyAlignment="1">
      <alignment horizontal="center" vertical="center"/>
    </xf>
    <xf numFmtId="2" fontId="0" fillId="35" borderId="37" xfId="0" applyFill="1" applyBorder="1" applyAlignment="1">
      <alignment horizontal="center" vertical="center"/>
    </xf>
    <xf numFmtId="2" fontId="14" fillId="35" borderId="0" xfId="0" applyFont="1" applyFill="1" applyBorder="1" applyAlignment="1">
      <alignment horizontal="left" vertical="center"/>
    </xf>
    <xf numFmtId="2" fontId="15" fillId="35" borderId="0" xfId="0" applyFont="1" applyFill="1" applyBorder="1" applyAlignment="1">
      <alignment horizontal="center"/>
    </xf>
    <xf numFmtId="2" fontId="42" fillId="35" borderId="22" xfId="0" applyFont="1" applyFill="1" applyBorder="1" applyAlignment="1">
      <alignment horizontal="left" vertical="center"/>
    </xf>
    <xf numFmtId="2" fontId="0" fillId="34" borderId="33" xfId="0" applyFont="1" applyFill="1" applyBorder="1" applyAlignment="1" applyProtection="1">
      <alignment horizontal="left" vertical="center"/>
      <protection locked="0"/>
    </xf>
    <xf numFmtId="2" fontId="0" fillId="0" borderId="0" xfId="0" applyNumberFormat="1" applyAlignment="1">
      <alignment horizontal="center" vertical="center"/>
    </xf>
    <xf numFmtId="2" fontId="0" fillId="0" borderId="0" xfId="0"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17" fillId="35" borderId="0" xfId="0" applyNumberFormat="1" applyFont="1" applyFill="1" applyBorder="1" applyAlignment="1">
      <alignment horizontal="left"/>
    </xf>
    <xf numFmtId="2" fontId="0" fillId="35" borderId="12" xfId="0" applyFill="1" applyBorder="1" applyAlignment="1">
      <alignment horizontal="center" vertical="center"/>
    </xf>
    <xf numFmtId="164" fontId="0" fillId="34" borderId="0" xfId="0" applyNumberFormat="1" applyFill="1" applyBorder="1" applyAlignment="1">
      <alignment horizontal="center" vertical="center"/>
    </xf>
    <xf numFmtId="1" fontId="17" fillId="35" borderId="0" xfId="0" applyNumberFormat="1" applyFont="1" applyFill="1" applyBorder="1" applyAlignment="1">
      <alignment horizontal="left" vertical="center"/>
    </xf>
    <xf numFmtId="164" fontId="49" fillId="0" borderId="38" xfId="0" applyNumberFormat="1" applyFont="1" applyFill="1" applyBorder="1" applyAlignment="1" applyProtection="1">
      <alignment horizontal="center" vertical="center"/>
      <protection/>
    </xf>
    <xf numFmtId="2" fontId="33" fillId="33" borderId="12" xfId="0" applyFont="1" applyFill="1" applyBorder="1" applyAlignment="1">
      <alignment horizontal="left" vertical="center"/>
    </xf>
    <xf numFmtId="165" fontId="59" fillId="33" borderId="11" xfId="0" applyNumberFormat="1" applyFont="1" applyFill="1" applyBorder="1" applyAlignment="1" applyProtection="1">
      <alignment horizontal="left"/>
      <protection locked="0"/>
    </xf>
    <xf numFmtId="165" fontId="59" fillId="33" borderId="11" xfId="0" applyNumberFormat="1" applyFont="1" applyFill="1" applyBorder="1" applyAlignment="1" applyProtection="1">
      <alignment horizontal="right"/>
      <protection locked="0"/>
    </xf>
    <xf numFmtId="0" fontId="42" fillId="35" borderId="22" xfId="0" applyNumberFormat="1" applyFont="1" applyFill="1" applyBorder="1" applyAlignment="1">
      <alignment horizontal="left" vertical="center"/>
    </xf>
    <xf numFmtId="2" fontId="0" fillId="0" borderId="22" xfId="0" applyBorder="1" applyAlignment="1">
      <alignment horizontal="left" vertical="center"/>
    </xf>
    <xf numFmtId="2" fontId="0" fillId="33" borderId="17" xfId="0" applyFill="1" applyBorder="1" applyAlignment="1">
      <alignment horizontal="center" vertical="center"/>
    </xf>
    <xf numFmtId="2" fontId="59" fillId="33" borderId="0" xfId="0" applyNumberFormat="1" applyFont="1" applyFill="1" applyBorder="1" applyAlignment="1" applyProtection="1">
      <alignment horizontal="left" vertical="center"/>
      <protection locked="0"/>
    </xf>
    <xf numFmtId="1" fontId="43" fillId="33" borderId="0" xfId="0" applyNumberFormat="1" applyFont="1" applyFill="1" applyAlignment="1">
      <alignment vertical="center"/>
    </xf>
    <xf numFmtId="164" fontId="59" fillId="33" borderId="0" xfId="0" applyNumberFormat="1" applyFont="1" applyFill="1" applyBorder="1" applyAlignment="1" applyProtection="1">
      <alignment horizontal="left" vertical="center"/>
      <protection locked="0"/>
    </xf>
    <xf numFmtId="2" fontId="1" fillId="33" borderId="0" xfId="0" applyFont="1" applyFill="1" applyBorder="1" applyAlignment="1">
      <alignment horizontal="right" vertical="center"/>
    </xf>
    <xf numFmtId="167" fontId="59" fillId="33" borderId="0" xfId="0" applyNumberFormat="1" applyFont="1" applyFill="1" applyBorder="1" applyAlignment="1" applyProtection="1">
      <alignment horizontal="left" vertical="center"/>
      <protection locked="0"/>
    </xf>
    <xf numFmtId="1" fontId="15" fillId="33" borderId="0" xfId="0" applyNumberFormat="1" applyFont="1" applyFill="1" applyAlignment="1">
      <alignment horizontal="right" vertical="center"/>
    </xf>
    <xf numFmtId="2" fontId="72" fillId="33" borderId="12" xfId="0" applyFont="1" applyFill="1" applyBorder="1" applyAlignment="1">
      <alignment horizontal="left" vertical="center"/>
    </xf>
    <xf numFmtId="167" fontId="59" fillId="33" borderId="0" xfId="0" applyNumberFormat="1" applyFont="1" applyFill="1" applyBorder="1" applyAlignment="1" applyProtection="1">
      <alignment horizontal="left" vertical="center"/>
      <protection/>
    </xf>
    <xf numFmtId="2" fontId="72" fillId="33" borderId="13" xfId="0" applyFont="1" applyFill="1" applyBorder="1" applyAlignment="1">
      <alignment vertical="center"/>
    </xf>
    <xf numFmtId="2" fontId="0" fillId="33" borderId="10" xfId="0" applyFill="1" applyBorder="1" applyAlignment="1">
      <alignment horizontal="left" vertical="center"/>
    </xf>
    <xf numFmtId="2" fontId="33" fillId="34" borderId="0" xfId="0" applyFont="1" applyFill="1" applyAlignment="1">
      <alignment horizontal="left" vertical="center"/>
    </xf>
    <xf numFmtId="2" fontId="33" fillId="34" borderId="0" xfId="0" applyFont="1" applyFill="1" applyAlignment="1">
      <alignment horizontal="center" vertical="center"/>
    </xf>
    <xf numFmtId="2" fontId="0" fillId="34" borderId="0" xfId="0" applyFont="1" applyFill="1" applyAlignment="1">
      <alignment horizontal="center" vertical="center"/>
    </xf>
    <xf numFmtId="2" fontId="0" fillId="0" borderId="0" xfId="0" applyFont="1" applyAlignment="1">
      <alignment horizontal="center" vertical="center"/>
    </xf>
    <xf numFmtId="2" fontId="0" fillId="34" borderId="0" xfId="0" applyFont="1" applyFill="1" applyAlignment="1">
      <alignment horizontal="right" vertical="center"/>
    </xf>
    <xf numFmtId="2" fontId="0" fillId="34" borderId="0" xfId="0" applyFont="1" applyFill="1" applyAlignment="1">
      <alignment horizontal="left" vertical="top"/>
    </xf>
    <xf numFmtId="2" fontId="0" fillId="34" borderId="0" xfId="0" applyFont="1" applyFill="1" applyAlignment="1">
      <alignment horizontal="center" vertical="top"/>
    </xf>
    <xf numFmtId="2" fontId="0" fillId="34" borderId="0" xfId="0" applyFont="1" applyFill="1" applyAlignment="1">
      <alignment horizontal="center" vertical="top"/>
    </xf>
    <xf numFmtId="2" fontId="16" fillId="34" borderId="0" xfId="0" applyFont="1" applyFill="1" applyAlignment="1">
      <alignment horizontal="left" vertical="top"/>
    </xf>
    <xf numFmtId="2" fontId="8" fillId="34" borderId="0" xfId="0" applyFont="1" applyFill="1" applyBorder="1" applyAlignment="1" applyProtection="1">
      <alignment horizontal="left" vertical="center"/>
      <protection hidden="1"/>
    </xf>
    <xf numFmtId="2" fontId="8" fillId="34" borderId="0" xfId="0" applyFont="1" applyFill="1" applyBorder="1" applyAlignment="1">
      <alignment horizontal="center" vertical="center"/>
    </xf>
    <xf numFmtId="2" fontId="79" fillId="34" borderId="0" xfId="0" applyFont="1" applyFill="1" applyBorder="1" applyAlignment="1">
      <alignment horizontal="center" vertical="center"/>
    </xf>
    <xf numFmtId="2" fontId="79" fillId="34" borderId="0" xfId="0" applyFont="1" applyFill="1" applyBorder="1" applyAlignment="1" applyProtection="1">
      <alignment horizontal="left" vertical="center"/>
      <protection locked="0"/>
    </xf>
    <xf numFmtId="2" fontId="8" fillId="34" borderId="0" xfId="0" applyFont="1" applyFill="1" applyBorder="1" applyAlignment="1" applyProtection="1">
      <alignment horizontal="center" vertical="center"/>
      <protection locked="0"/>
    </xf>
    <xf numFmtId="2" fontId="79" fillId="34" borderId="0" xfId="0" applyFont="1" applyFill="1" applyBorder="1" applyAlignment="1">
      <alignment horizontal="left" vertical="center"/>
    </xf>
    <xf numFmtId="2" fontId="30" fillId="33" borderId="16" xfId="0" applyFont="1" applyFill="1" applyBorder="1" applyAlignment="1" applyProtection="1">
      <alignment horizontal="center" vertical="center"/>
      <protection locked="0"/>
    </xf>
    <xf numFmtId="2" fontId="26" fillId="0" borderId="0" xfId="0" applyFont="1" applyAlignment="1">
      <alignment horizontal="center" vertical="center"/>
    </xf>
    <xf numFmtId="1" fontId="26" fillId="0" borderId="0" xfId="0" applyNumberFormat="1" applyFont="1" applyAlignment="1">
      <alignment horizontal="center" vertical="center"/>
    </xf>
    <xf numFmtId="2" fontId="49" fillId="0" borderId="13" xfId="0" applyFont="1" applyFill="1" applyBorder="1" applyAlignment="1" applyProtection="1">
      <alignment horizontal="center" vertical="center"/>
      <protection/>
    </xf>
    <xf numFmtId="2" fontId="49" fillId="0" borderId="10" xfId="0" applyFont="1" applyFill="1" applyBorder="1" applyAlignment="1" applyProtection="1">
      <alignment horizontal="center" vertical="center"/>
      <protection/>
    </xf>
    <xf numFmtId="2" fontId="81" fillId="34" borderId="39" xfId="0" applyFont="1" applyFill="1" applyBorder="1" applyAlignment="1" applyProtection="1">
      <alignment horizontal="centerContinuous"/>
      <protection/>
    </xf>
    <xf numFmtId="2" fontId="82" fillId="34" borderId="20" xfId="0" applyFont="1" applyFill="1" applyBorder="1" applyAlignment="1" applyProtection="1">
      <alignment horizontal="centerContinuous"/>
      <protection/>
    </xf>
    <xf numFmtId="2" fontId="82" fillId="34" borderId="21" xfId="0" applyFont="1" applyFill="1" applyBorder="1" applyAlignment="1" applyProtection="1">
      <alignment horizontal="centerContinuous"/>
      <protection/>
    </xf>
    <xf numFmtId="2" fontId="49" fillId="0" borderId="40" xfId="0" applyFont="1" applyFill="1" applyBorder="1" applyAlignment="1" applyProtection="1">
      <alignment horizontal="centerContinuous"/>
      <protection/>
    </xf>
    <xf numFmtId="2" fontId="49" fillId="0" borderId="41" xfId="0" applyFont="1" applyFill="1" applyBorder="1" applyAlignment="1" applyProtection="1">
      <alignment horizontal="centerContinuous"/>
      <protection/>
    </xf>
    <xf numFmtId="2" fontId="49" fillId="0" borderId="0" xfId="0" applyFont="1" applyFill="1" applyAlignment="1" applyProtection="1">
      <alignment horizontal="right"/>
      <protection/>
    </xf>
    <xf numFmtId="2" fontId="26" fillId="0" borderId="0" xfId="0" applyFont="1" applyAlignment="1" applyProtection="1">
      <alignment horizontal="center" vertical="center"/>
      <protection/>
    </xf>
    <xf numFmtId="2" fontId="49" fillId="0" borderId="0" xfId="0" applyFont="1" applyFill="1" applyAlignment="1" applyProtection="1">
      <alignment horizontal="center" vertical="center"/>
      <protection/>
    </xf>
    <xf numFmtId="2" fontId="49" fillId="0" borderId="38" xfId="0" applyNumberFormat="1" applyFont="1" applyFill="1" applyBorder="1" applyAlignment="1" applyProtection="1">
      <alignment horizontal="center"/>
      <protection/>
    </xf>
    <xf numFmtId="164" fontId="49" fillId="0" borderId="0" xfId="0" applyNumberFormat="1" applyFont="1" applyFill="1" applyAlignment="1" applyProtection="1">
      <alignment horizontal="center" vertical="center"/>
      <protection/>
    </xf>
    <xf numFmtId="2" fontId="26" fillId="0" borderId="0" xfId="0" applyNumberFormat="1" applyFont="1" applyAlignment="1" applyProtection="1">
      <alignment/>
      <protection/>
    </xf>
    <xf numFmtId="167" fontId="49" fillId="0" borderId="38" xfId="0" applyNumberFormat="1" applyFont="1" applyFill="1" applyBorder="1" applyAlignment="1" applyProtection="1">
      <alignment horizontal="center"/>
      <protection/>
    </xf>
    <xf numFmtId="1" fontId="49" fillId="0" borderId="38" xfId="0" applyNumberFormat="1" applyFont="1" applyFill="1" applyBorder="1" applyAlignment="1" applyProtection="1">
      <alignment horizontal="center"/>
      <protection/>
    </xf>
    <xf numFmtId="2" fontId="26" fillId="0" borderId="0" xfId="0" applyFont="1" applyFill="1" applyAlignment="1" applyProtection="1">
      <alignment horizontal="center" vertical="center"/>
      <protection/>
    </xf>
    <xf numFmtId="2" fontId="26" fillId="0" borderId="0" xfId="0" applyNumberFormat="1" applyFont="1" applyAlignment="1" applyProtection="1">
      <alignment horizontal="center" vertical="center"/>
      <protection/>
    </xf>
    <xf numFmtId="2" fontId="49" fillId="0" borderId="0" xfId="0" applyFont="1" applyAlignment="1" applyProtection="1">
      <alignment horizontal="center" vertical="center"/>
      <protection/>
    </xf>
    <xf numFmtId="2" fontId="49" fillId="36" borderId="42" xfId="0" applyFont="1" applyFill="1" applyBorder="1" applyAlignment="1" applyProtection="1">
      <alignment horizontal="center"/>
      <protection/>
    </xf>
    <xf numFmtId="2" fontId="49" fillId="0" borderId="0" xfId="0" applyFont="1" applyFill="1" applyBorder="1" applyAlignment="1" applyProtection="1">
      <alignment horizontal="centerContinuous"/>
      <protection/>
    </xf>
    <xf numFmtId="167" fontId="26" fillId="0" borderId="0" xfId="0" applyNumberFormat="1" applyFont="1" applyAlignment="1" applyProtection="1">
      <alignment horizontal="center" vertical="center"/>
      <protection/>
    </xf>
    <xf numFmtId="2" fontId="49" fillId="0" borderId="0" xfId="0" applyFont="1" applyAlignment="1" applyProtection="1">
      <alignment horizontal="left" vertical="center"/>
      <protection/>
    </xf>
    <xf numFmtId="2" fontId="49" fillId="0" borderId="0" xfId="0" applyFont="1" applyAlignment="1" applyProtection="1">
      <alignment horizontal="right"/>
      <protection/>
    </xf>
    <xf numFmtId="167" fontId="49" fillId="36" borderId="38" xfId="0" applyNumberFormat="1" applyFont="1" applyFill="1" applyBorder="1" applyAlignment="1" applyProtection="1">
      <alignment horizontal="left"/>
      <protection/>
    </xf>
    <xf numFmtId="2" fontId="30" fillId="34" borderId="0" xfId="0" applyFont="1" applyFill="1" applyAlignment="1">
      <alignment horizontal="center" vertical="center"/>
    </xf>
    <xf numFmtId="2" fontId="28" fillId="33" borderId="39" xfId="0" applyFont="1" applyFill="1" applyBorder="1" applyAlignment="1">
      <alignment horizontal="center" vertical="center"/>
    </xf>
    <xf numFmtId="2" fontId="17" fillId="34" borderId="0" xfId="0" applyFont="1" applyFill="1" applyBorder="1" applyAlignment="1">
      <alignment horizontal="left" vertical="center"/>
    </xf>
    <xf numFmtId="2" fontId="15" fillId="0" borderId="43" xfId="0" applyFont="1" applyBorder="1" applyAlignment="1">
      <alignment horizontal="center" vertical="center"/>
    </xf>
    <xf numFmtId="2" fontId="0" fillId="0" borderId="0" xfId="0" applyFont="1" applyBorder="1" applyAlignment="1">
      <alignment horizontal="center" vertical="center"/>
    </xf>
    <xf numFmtId="2" fontId="0" fillId="0" borderId="0" xfId="0" applyFont="1" applyFill="1" applyBorder="1" applyAlignment="1">
      <alignment horizontal="center" vertical="center"/>
    </xf>
    <xf numFmtId="2" fontId="15" fillId="0" borderId="0" xfId="0" applyFont="1" applyFill="1" applyBorder="1" applyAlignment="1">
      <alignment horizontal="center" vertical="center"/>
    </xf>
    <xf numFmtId="2" fontId="86" fillId="0" borderId="0" xfId="0" applyFont="1" applyFill="1" applyBorder="1" applyAlignment="1">
      <alignment vertical="center" wrapText="1"/>
    </xf>
    <xf numFmtId="2" fontId="86" fillId="0" borderId="44" xfId="0" applyFont="1" applyFill="1" applyBorder="1" applyAlignment="1">
      <alignment vertical="center" wrapText="1"/>
    </xf>
    <xf numFmtId="2" fontId="15" fillId="0" borderId="45" xfId="0" applyFont="1" applyBorder="1" applyAlignment="1">
      <alignment horizontal="center" vertical="center"/>
    </xf>
    <xf numFmtId="2" fontId="0" fillId="0" borderId="46" xfId="0" applyFont="1" applyBorder="1" applyAlignment="1">
      <alignment horizontal="center" vertical="center"/>
    </xf>
    <xf numFmtId="2" fontId="0" fillId="0" borderId="47" xfId="0" applyFont="1" applyFill="1" applyBorder="1" applyAlignment="1">
      <alignment horizontal="center" vertical="center"/>
    </xf>
    <xf numFmtId="2" fontId="0" fillId="0" borderId="46" xfId="0" applyFont="1" applyFill="1" applyBorder="1" applyAlignment="1">
      <alignment horizontal="center" vertical="center"/>
    </xf>
    <xf numFmtId="2" fontId="15" fillId="0" borderId="46" xfId="0" applyFont="1" applyFill="1" applyBorder="1" applyAlignment="1">
      <alignment horizontal="center" vertical="center"/>
    </xf>
    <xf numFmtId="2" fontId="84" fillId="0" borderId="45" xfId="0" applyFont="1" applyFill="1" applyBorder="1" applyAlignment="1">
      <alignment horizontal="center"/>
    </xf>
    <xf numFmtId="2" fontId="85" fillId="0" borderId="48" xfId="0" applyFont="1" applyFill="1" applyBorder="1" applyAlignment="1">
      <alignment vertical="center" wrapText="1"/>
    </xf>
    <xf numFmtId="2" fontId="0" fillId="0" borderId="44" xfId="0" applyFont="1" applyFill="1" applyBorder="1" applyAlignment="1">
      <alignment horizontal="center" vertical="center"/>
    </xf>
    <xf numFmtId="2" fontId="87" fillId="0" borderId="49" xfId="0" applyFont="1" applyFill="1" applyBorder="1" applyAlignment="1">
      <alignment vertical="center" wrapText="1"/>
    </xf>
    <xf numFmtId="2" fontId="85" fillId="0" borderId="49" xfId="0" applyFont="1" applyFill="1" applyBorder="1" applyAlignment="1">
      <alignment vertical="center" wrapText="1"/>
    </xf>
    <xf numFmtId="2" fontId="84" fillId="0" borderId="49" xfId="0" applyFont="1" applyFill="1" applyBorder="1" applyAlignment="1">
      <alignment horizontal="center" vertical="center"/>
    </xf>
    <xf numFmtId="2" fontId="15" fillId="0" borderId="50" xfId="0" applyFont="1" applyBorder="1" applyAlignment="1">
      <alignment horizontal="center" vertical="center"/>
    </xf>
    <xf numFmtId="2" fontId="0" fillId="0" borderId="51" xfId="0" applyFont="1" applyBorder="1" applyAlignment="1">
      <alignment horizontal="center" vertical="center"/>
    </xf>
    <xf numFmtId="2" fontId="0" fillId="0" borderId="52" xfId="0" applyFont="1" applyFill="1" applyBorder="1" applyAlignment="1">
      <alignment horizontal="center" vertical="center"/>
    </xf>
    <xf numFmtId="2" fontId="0" fillId="0" borderId="51" xfId="0" applyFont="1" applyFill="1" applyBorder="1" applyAlignment="1">
      <alignment horizontal="center" vertical="center"/>
    </xf>
    <xf numFmtId="2" fontId="15" fillId="0" borderId="51" xfId="0" applyFont="1" applyFill="1" applyBorder="1" applyAlignment="1">
      <alignment horizontal="center" vertical="center"/>
    </xf>
    <xf numFmtId="2" fontId="85" fillId="0" borderId="53" xfId="0" applyFont="1" applyFill="1" applyBorder="1" applyAlignment="1" applyProtection="1">
      <alignment horizontal="center" vertical="top"/>
      <protection locked="0"/>
    </xf>
    <xf numFmtId="2" fontId="0" fillId="0" borderId="0" xfId="0" applyFill="1" applyBorder="1" applyAlignment="1">
      <alignment horizontal="center" vertical="center"/>
    </xf>
    <xf numFmtId="2" fontId="37" fillId="35" borderId="0" xfId="0" applyFont="1" applyFill="1" applyBorder="1" applyAlignment="1">
      <alignment horizontal="right" vertical="center"/>
    </xf>
    <xf numFmtId="2" fontId="0" fillId="35" borderId="0" xfId="0" applyFill="1" applyBorder="1" applyAlignment="1">
      <alignment horizontal="center" vertical="center"/>
    </xf>
    <xf numFmtId="2" fontId="45" fillId="35" borderId="0" xfId="0" applyFont="1" applyFill="1" applyBorder="1" applyAlignment="1">
      <alignment horizontal="left" vertical="center"/>
    </xf>
    <xf numFmtId="2" fontId="14" fillId="35" borderId="0" xfId="0" applyFont="1" applyFill="1" applyBorder="1" applyAlignment="1">
      <alignment horizontal="center" vertical="center"/>
    </xf>
    <xf numFmtId="2" fontId="87" fillId="0" borderId="47" xfId="0" applyFont="1" applyFill="1" applyBorder="1" applyAlignment="1">
      <alignment horizontal="left" vertical="center" wrapText="1"/>
    </xf>
    <xf numFmtId="2" fontId="0" fillId="34" borderId="54" xfId="0" applyFont="1" applyFill="1" applyBorder="1" applyAlignment="1" applyProtection="1">
      <alignment horizontal="center" vertical="center"/>
      <protection locked="0"/>
    </xf>
    <xf numFmtId="2" fontId="0" fillId="34" borderId="35" xfId="0" applyFont="1" applyFill="1" applyBorder="1" applyAlignment="1" applyProtection="1">
      <alignment horizontal="center" vertical="center"/>
      <protection locked="0"/>
    </xf>
    <xf numFmtId="2" fontId="0" fillId="33" borderId="20" xfId="0" applyFill="1" applyBorder="1" applyAlignment="1">
      <alignment horizontal="center" vertical="center"/>
    </xf>
    <xf numFmtId="2" fontId="0" fillId="33" borderId="21" xfId="0" applyFill="1" applyBorder="1" applyAlignment="1">
      <alignment horizontal="center" vertical="center"/>
    </xf>
    <xf numFmtId="2" fontId="0" fillId="35" borderId="44" xfId="0" applyFill="1" applyBorder="1" applyAlignment="1">
      <alignment horizontal="center" vertical="center"/>
    </xf>
    <xf numFmtId="2" fontId="0" fillId="35" borderId="44" xfId="0" applyFill="1" applyBorder="1" applyAlignment="1">
      <alignment horizontal="center" vertical="center"/>
    </xf>
    <xf numFmtId="2" fontId="0" fillId="35" borderId="52" xfId="0" applyFill="1" applyBorder="1" applyAlignment="1">
      <alignment horizontal="center" vertical="center"/>
    </xf>
    <xf numFmtId="179" fontId="17" fillId="35" borderId="0" xfId="0" applyNumberFormat="1" applyFont="1" applyFill="1" applyBorder="1" applyAlignment="1">
      <alignment horizontal="left" vertical="center"/>
    </xf>
    <xf numFmtId="179" fontId="0" fillId="35" borderId="22" xfId="0" applyNumberFormat="1" applyFill="1" applyBorder="1" applyAlignment="1">
      <alignment horizontal="center" vertical="center"/>
    </xf>
    <xf numFmtId="2" fontId="0" fillId="33" borderId="0" xfId="0" applyFill="1" applyAlignment="1">
      <alignment horizontal="center" vertical="center"/>
    </xf>
    <xf numFmtId="183" fontId="33" fillId="35" borderId="22" xfId="0" applyNumberFormat="1" applyFont="1" applyFill="1" applyBorder="1" applyAlignment="1">
      <alignment horizontal="center" vertical="center"/>
    </xf>
    <xf numFmtId="183" fontId="88" fillId="34" borderId="22" xfId="0" applyNumberFormat="1" applyFont="1" applyFill="1" applyBorder="1" applyAlignment="1">
      <alignment horizontal="center" vertical="center"/>
    </xf>
    <xf numFmtId="2" fontId="0" fillId="0" borderId="0" xfId="0" applyFill="1" applyBorder="1" applyAlignment="1">
      <alignment horizontal="left" vertical="center"/>
    </xf>
    <xf numFmtId="2" fontId="0" fillId="0" borderId="23" xfId="0" applyNumberFormat="1" applyBorder="1" applyAlignment="1">
      <alignment horizontal="center" vertical="center"/>
    </xf>
    <xf numFmtId="1" fontId="37" fillId="35" borderId="55" xfId="0" applyNumberFormat="1" applyFont="1" applyFill="1" applyBorder="1" applyAlignment="1" applyProtection="1">
      <alignment horizontal="left" vertical="center"/>
      <protection/>
    </xf>
    <xf numFmtId="2" fontId="0" fillId="35" borderId="20" xfId="0" applyFill="1" applyBorder="1" applyAlignment="1">
      <alignment horizontal="right" vertical="center"/>
    </xf>
    <xf numFmtId="14" fontId="17" fillId="34" borderId="35" xfId="0" applyNumberFormat="1" applyFont="1" applyFill="1" applyBorder="1" applyAlignment="1" applyProtection="1">
      <alignment horizontal="left" vertical="center"/>
      <protection/>
    </xf>
    <xf numFmtId="2" fontId="9" fillId="0" borderId="0" xfId="0" applyFont="1" applyAlignment="1">
      <alignment horizontal="center" vertical="center"/>
    </xf>
    <xf numFmtId="2" fontId="28" fillId="35" borderId="22" xfId="0" applyFont="1" applyFill="1" applyBorder="1" applyAlignment="1">
      <alignment horizontal="left" vertical="center"/>
    </xf>
    <xf numFmtId="2" fontId="9" fillId="35" borderId="56" xfId="0" applyFont="1" applyFill="1" applyBorder="1" applyAlignment="1">
      <alignment horizontal="center" vertical="center"/>
    </xf>
    <xf numFmtId="2" fontId="0" fillId="37" borderId="57" xfId="0" applyFill="1" applyBorder="1" applyAlignment="1" applyProtection="1">
      <alignment horizontal="left" vertical="center"/>
      <protection locked="0"/>
    </xf>
    <xf numFmtId="2" fontId="0" fillId="37" borderId="58" xfId="0" applyFill="1" applyBorder="1" applyAlignment="1" applyProtection="1">
      <alignment horizontal="left" vertical="center"/>
      <protection locked="0"/>
    </xf>
    <xf numFmtId="2" fontId="0" fillId="37" borderId="55" xfId="0" applyFill="1" applyBorder="1" applyAlignment="1" applyProtection="1">
      <alignment horizontal="left" vertical="center"/>
      <protection locked="0"/>
    </xf>
    <xf numFmtId="183" fontId="59" fillId="0" borderId="59" xfId="0" applyNumberFormat="1" applyFont="1" applyFill="1" applyBorder="1" applyAlignment="1" applyProtection="1">
      <alignment horizontal="left" vertical="center"/>
      <protection locked="0"/>
    </xf>
    <xf numFmtId="4" fontId="135" fillId="34" borderId="0" xfId="0" applyNumberFormat="1" applyFont="1" applyFill="1" applyBorder="1" applyAlignment="1">
      <alignment horizontal="left" vertical="center"/>
    </xf>
    <xf numFmtId="2" fontId="135" fillId="34" borderId="0" xfId="0" applyFont="1" applyFill="1" applyAlignment="1">
      <alignment horizontal="left" vertical="center"/>
    </xf>
    <xf numFmtId="2" fontId="14" fillId="35" borderId="14" xfId="0" applyFont="1" applyFill="1" applyBorder="1" applyAlignment="1">
      <alignment horizontal="center" vertical="center"/>
    </xf>
    <xf numFmtId="2" fontId="0" fillId="0" borderId="14" xfId="0" applyBorder="1" applyAlignment="1">
      <alignment horizontal="center" vertical="center"/>
    </xf>
    <xf numFmtId="2" fontId="0" fillId="35" borderId="0" xfId="0" applyFill="1" applyBorder="1" applyAlignment="1">
      <alignment horizontal="left" vertical="center"/>
    </xf>
    <xf numFmtId="2" fontId="0" fillId="35" borderId="0" xfId="0" applyFill="1" applyAlignment="1">
      <alignment horizontal="center" vertical="center"/>
    </xf>
    <xf numFmtId="2" fontId="3" fillId="35" borderId="12" xfId="0" applyFont="1" applyFill="1" applyBorder="1" applyAlignment="1">
      <alignment horizontal="center" vertical="center"/>
    </xf>
    <xf numFmtId="2" fontId="2" fillId="35" borderId="0" xfId="0" applyFont="1" applyFill="1" applyBorder="1" applyAlignment="1">
      <alignment horizontal="center" vertical="center"/>
    </xf>
    <xf numFmtId="2" fontId="2" fillId="35" borderId="16" xfId="0" applyFont="1" applyFill="1" applyBorder="1" applyAlignment="1">
      <alignment horizontal="center" vertical="center"/>
    </xf>
    <xf numFmtId="2" fontId="2" fillId="35" borderId="12" xfId="0" applyFont="1" applyFill="1" applyBorder="1" applyAlignment="1">
      <alignment horizontal="center" vertical="center"/>
    </xf>
    <xf numFmtId="2" fontId="2" fillId="35" borderId="0" xfId="0" applyFont="1" applyFill="1" applyAlignment="1">
      <alignment horizontal="center" vertical="center"/>
    </xf>
    <xf numFmtId="2" fontId="0" fillId="35" borderId="0" xfId="0" applyFont="1" applyFill="1" applyBorder="1" applyAlignment="1">
      <alignment horizontal="right" vertical="center" textRotation="126"/>
    </xf>
    <xf numFmtId="2" fontId="60" fillId="34" borderId="0" xfId="0" applyFont="1" applyFill="1" applyBorder="1" applyAlignment="1">
      <alignment horizontal="center"/>
    </xf>
    <xf numFmtId="2" fontId="11" fillId="34" borderId="18" xfId="0" applyFont="1" applyFill="1" applyBorder="1" applyAlignment="1" applyProtection="1">
      <alignment horizontal="left" vertical="center"/>
      <protection locked="0"/>
    </xf>
    <xf numFmtId="2" fontId="8" fillId="34" borderId="18" xfId="0" applyFont="1" applyFill="1" applyBorder="1" applyAlignment="1" applyProtection="1">
      <alignment horizontal="left" vertical="center"/>
      <protection locked="0"/>
    </xf>
    <xf numFmtId="2" fontId="24" fillId="35" borderId="11" xfId="0" applyFont="1" applyFill="1" applyBorder="1" applyAlignment="1">
      <alignment horizontal="center" vertical="center"/>
    </xf>
    <xf numFmtId="2" fontId="25" fillId="35" borderId="11" xfId="0" applyFont="1" applyFill="1" applyBorder="1" applyAlignment="1">
      <alignment horizontal="center" vertical="center"/>
    </xf>
    <xf numFmtId="2" fontId="17" fillId="35" borderId="12" xfId="0" applyFont="1" applyFill="1" applyBorder="1" applyAlignment="1">
      <alignment horizontal="right"/>
    </xf>
    <xf numFmtId="2" fontId="17" fillId="35" borderId="0" xfId="0" applyFont="1" applyFill="1" applyBorder="1" applyAlignment="1">
      <alignment horizontal="right"/>
    </xf>
    <xf numFmtId="2" fontId="0" fillId="0" borderId="0" xfId="0" applyBorder="1" applyAlignment="1">
      <alignment horizontal="center" vertical="center"/>
    </xf>
    <xf numFmtId="2" fontId="22" fillId="34" borderId="11" xfId="0" applyFont="1" applyFill="1" applyBorder="1" applyAlignment="1">
      <alignment horizontal="left"/>
    </xf>
    <xf numFmtId="2" fontId="22" fillId="34" borderId="11" xfId="0" applyFont="1" applyFill="1" applyBorder="1" applyAlignment="1">
      <alignment horizontal="center"/>
    </xf>
    <xf numFmtId="2" fontId="22" fillId="34" borderId="0" xfId="0" applyFont="1" applyFill="1" applyBorder="1" applyAlignment="1">
      <alignment horizontal="center"/>
    </xf>
    <xf numFmtId="2" fontId="12" fillId="34" borderId="0" xfId="0" applyFont="1" applyFill="1" applyBorder="1" applyAlignment="1">
      <alignment horizontal="center"/>
    </xf>
    <xf numFmtId="2" fontId="13" fillId="34" borderId="0" xfId="0" applyFont="1" applyFill="1" applyBorder="1" applyAlignment="1">
      <alignment horizontal="center" vertical="center"/>
    </xf>
    <xf numFmtId="2" fontId="23" fillId="33" borderId="11" xfId="0" applyFont="1" applyFill="1" applyBorder="1" applyAlignment="1">
      <alignment horizontal="center" vertical="center"/>
    </xf>
    <xf numFmtId="2" fontId="21" fillId="33" borderId="11" xfId="0" applyFont="1" applyFill="1" applyBorder="1" applyAlignment="1">
      <alignment horizontal="center" vertical="center"/>
    </xf>
    <xf numFmtId="2" fontId="15" fillId="34" borderId="0" xfId="0" applyFont="1" applyFill="1" applyBorder="1" applyAlignment="1">
      <alignment horizontal="center" vertical="center"/>
    </xf>
    <xf numFmtId="2" fontId="0" fillId="34" borderId="0" xfId="0" applyFill="1" applyBorder="1" applyAlignment="1">
      <alignment horizontal="center" vertical="center"/>
    </xf>
    <xf numFmtId="2" fontId="59" fillId="34" borderId="18" xfId="0" applyFont="1" applyFill="1" applyBorder="1" applyAlignment="1" applyProtection="1">
      <alignment horizontal="left" vertical="center"/>
      <protection locked="0"/>
    </xf>
    <xf numFmtId="2" fontId="33" fillId="34" borderId="18" xfId="0" applyFont="1" applyFill="1" applyBorder="1" applyAlignment="1" applyProtection="1">
      <alignment horizontal="center" vertical="center"/>
      <protection locked="0"/>
    </xf>
    <xf numFmtId="2" fontId="59" fillId="34" borderId="19" xfId="0" applyFont="1" applyFill="1" applyBorder="1" applyAlignment="1" applyProtection="1">
      <alignment horizontal="left" vertical="center"/>
      <protection locked="0"/>
    </xf>
    <xf numFmtId="2" fontId="33" fillId="34" borderId="19" xfId="0" applyFont="1" applyFill="1" applyBorder="1" applyAlignment="1" applyProtection="1">
      <alignment horizontal="center" vertical="center"/>
      <protection locked="0"/>
    </xf>
    <xf numFmtId="2" fontId="61" fillId="34" borderId="18" xfId="0" applyFont="1" applyFill="1" applyBorder="1" applyAlignment="1" applyProtection="1">
      <alignment horizontal="left" vertical="center"/>
      <protection locked="0"/>
    </xf>
    <xf numFmtId="176" fontId="59" fillId="34" borderId="19" xfId="0" applyNumberFormat="1" applyFont="1" applyFill="1" applyBorder="1" applyAlignment="1" applyProtection="1">
      <alignment horizontal="left" vertical="center"/>
      <protection locked="0"/>
    </xf>
    <xf numFmtId="176" fontId="33" fillId="34" borderId="19" xfId="0" applyNumberFormat="1" applyFont="1" applyFill="1" applyBorder="1" applyAlignment="1" applyProtection="1">
      <alignment horizontal="center" vertical="center"/>
      <protection locked="0"/>
    </xf>
    <xf numFmtId="2" fontId="42" fillId="35" borderId="0" xfId="0" applyFont="1" applyFill="1" applyBorder="1" applyAlignment="1">
      <alignment horizontal="left" vertical="top" textRotation="91"/>
    </xf>
    <xf numFmtId="2" fontId="42" fillId="35" borderId="16" xfId="0" applyFont="1" applyFill="1" applyBorder="1" applyAlignment="1">
      <alignment horizontal="left" vertical="top" textRotation="91"/>
    </xf>
    <xf numFmtId="2" fontId="22" fillId="34" borderId="0" xfId="0" applyFont="1" applyFill="1" applyBorder="1" applyAlignment="1">
      <alignment horizontal="left"/>
    </xf>
    <xf numFmtId="2" fontId="22" fillId="34" borderId="14" xfId="0" applyFont="1" applyFill="1" applyBorder="1" applyAlignment="1">
      <alignment horizontal="center"/>
    </xf>
    <xf numFmtId="2" fontId="42" fillId="35" borderId="0" xfId="0" applyFont="1" applyFill="1" applyBorder="1" applyAlignment="1">
      <alignment horizontal="left" vertical="center" textRotation="96"/>
    </xf>
    <xf numFmtId="2" fontId="1" fillId="35" borderId="11" xfId="0" applyFont="1" applyFill="1" applyBorder="1" applyAlignment="1">
      <alignment horizontal="right" vertical="center"/>
    </xf>
    <xf numFmtId="2" fontId="11" fillId="34" borderId="18" xfId="0" applyFont="1" applyFill="1" applyBorder="1" applyAlignment="1" applyProtection="1">
      <alignment horizontal="left" vertical="center"/>
      <protection/>
    </xf>
    <xf numFmtId="2" fontId="8" fillId="34" borderId="18" xfId="0" applyFont="1" applyFill="1" applyBorder="1" applyAlignment="1" applyProtection="1">
      <alignment horizontal="left" vertical="center"/>
      <protection/>
    </xf>
    <xf numFmtId="2" fontId="42" fillId="35" borderId="23" xfId="0" applyFont="1" applyFill="1" applyBorder="1" applyAlignment="1">
      <alignment horizontal="left" vertical="top" textRotation="91"/>
    </xf>
    <xf numFmtId="2" fontId="52" fillId="35" borderId="0" xfId="0" applyFont="1" applyFill="1" applyBorder="1" applyAlignment="1">
      <alignment horizontal="left"/>
    </xf>
    <xf numFmtId="2" fontId="52" fillId="0" borderId="0" xfId="0" applyFont="1" applyAlignment="1">
      <alignment horizontal="left"/>
    </xf>
    <xf numFmtId="2" fontId="52" fillId="0" borderId="23" xfId="0" applyFont="1" applyBorder="1" applyAlignment="1">
      <alignment horizontal="left"/>
    </xf>
    <xf numFmtId="2" fontId="52" fillId="0" borderId="0" xfId="0" applyFont="1" applyBorder="1" applyAlignment="1">
      <alignment horizontal="left"/>
    </xf>
    <xf numFmtId="2" fontId="15" fillId="35" borderId="0" xfId="0" applyFont="1" applyFill="1" applyBorder="1" applyAlignment="1">
      <alignment horizontal="center" vertical="center"/>
    </xf>
    <xf numFmtId="2" fontId="85" fillId="0" borderId="43" xfId="0" applyFont="1" applyFill="1" applyBorder="1" applyAlignment="1">
      <alignment horizontal="left" vertical="center" wrapText="1" indent="1"/>
    </xf>
    <xf numFmtId="2" fontId="85" fillId="0" borderId="44" xfId="0" applyFont="1" applyFill="1" applyBorder="1" applyAlignment="1">
      <alignment horizontal="left" vertical="center" wrapText="1" indent="1"/>
    </xf>
    <xf numFmtId="2" fontId="0" fillId="34" borderId="35" xfId="0" applyFill="1" applyBorder="1" applyAlignment="1" applyProtection="1">
      <alignment horizontal="center" vertical="center"/>
      <protection/>
    </xf>
    <xf numFmtId="2" fontId="28" fillId="35" borderId="20" xfId="0" applyFont="1" applyFill="1" applyBorder="1" applyAlignment="1">
      <alignment horizontal="center" vertical="center"/>
    </xf>
    <xf numFmtId="2" fontId="0" fillId="35" borderId="20" xfId="0" applyFill="1" applyBorder="1" applyAlignment="1">
      <alignment horizontal="center" vertical="center"/>
    </xf>
    <xf numFmtId="2" fontId="0" fillId="35" borderId="20" xfId="0" applyFill="1" applyBorder="1" applyAlignment="1">
      <alignment horizontal="center" vertical="center"/>
    </xf>
    <xf numFmtId="2" fontId="85" fillId="0" borderId="43" xfId="0" applyFont="1" applyFill="1" applyBorder="1" applyAlignment="1">
      <alignment horizontal="left"/>
    </xf>
    <xf numFmtId="2" fontId="85" fillId="0" borderId="44" xfId="0" applyFont="1" applyFill="1" applyBorder="1" applyAlignment="1">
      <alignment horizontal="left"/>
    </xf>
    <xf numFmtId="2" fontId="85" fillId="0" borderId="50" xfId="0" applyFont="1" applyFill="1" applyBorder="1" applyAlignment="1">
      <alignment horizontal="left"/>
    </xf>
    <xf numFmtId="2" fontId="85" fillId="0" borderId="52" xfId="0" applyFont="1" applyFill="1" applyBorder="1" applyAlignment="1">
      <alignment horizontal="left"/>
    </xf>
    <xf numFmtId="2" fontId="42" fillId="34" borderId="0" xfId="0" applyFont="1" applyFill="1" applyBorder="1" applyAlignment="1">
      <alignment horizontal="left" vertical="center"/>
    </xf>
    <xf numFmtId="2" fontId="85" fillId="0" borderId="43" xfId="0" applyFont="1" applyFill="1" applyBorder="1" applyAlignment="1">
      <alignment horizontal="left" vertical="center"/>
    </xf>
    <xf numFmtId="2" fontId="0" fillId="0" borderId="44" xfId="0" applyBorder="1" applyAlignment="1">
      <alignment horizontal="left" vertical="center"/>
    </xf>
    <xf numFmtId="2" fontId="17" fillId="34" borderId="18" xfId="0" applyFont="1" applyFill="1" applyBorder="1" applyAlignment="1" applyProtection="1">
      <alignment horizontal="left" vertical="center"/>
      <protection/>
    </xf>
    <xf numFmtId="2" fontId="42" fillId="34" borderId="18" xfId="0" applyFont="1" applyFill="1" applyBorder="1" applyAlignment="1" applyProtection="1">
      <alignment horizontal="center" vertical="center"/>
      <protection/>
    </xf>
    <xf numFmtId="2" fontId="4" fillId="34" borderId="0" xfId="0" applyFont="1" applyFill="1" applyBorder="1" applyAlignment="1">
      <alignment horizontal="center"/>
    </xf>
    <xf numFmtId="2" fontId="42" fillId="34" borderId="18" xfId="0" applyFont="1" applyFill="1" applyBorder="1" applyAlignment="1" applyProtection="1">
      <alignment horizontal="left" vertical="center"/>
      <protection/>
    </xf>
    <xf numFmtId="2" fontId="17" fillId="34" borderId="19" xfId="0" applyFont="1" applyFill="1" applyBorder="1" applyAlignment="1" applyProtection="1">
      <alignment horizontal="left" vertical="center"/>
      <protection/>
    </xf>
    <xf numFmtId="2" fontId="42" fillId="34" borderId="19" xfId="0" applyFont="1" applyFill="1" applyBorder="1" applyAlignment="1" applyProtection="1">
      <alignment horizontal="center" vertical="center"/>
      <protection/>
    </xf>
    <xf numFmtId="2" fontId="17" fillId="35" borderId="0" xfId="0" applyFont="1" applyFill="1" applyBorder="1" applyAlignment="1">
      <alignment horizontal="left" vertical="center"/>
    </xf>
    <xf numFmtId="2" fontId="0" fillId="35" borderId="0" xfId="0" applyFill="1" applyBorder="1" applyAlignment="1">
      <alignment horizontal="center" vertical="center"/>
    </xf>
    <xf numFmtId="2" fontId="19" fillId="35" borderId="22" xfId="0" applyFont="1" applyFill="1" applyBorder="1" applyAlignment="1">
      <alignment horizontal="center" vertical="center"/>
    </xf>
    <xf numFmtId="2" fontId="21" fillId="35" borderId="0" xfId="0" applyFont="1" applyFill="1" applyBorder="1" applyAlignment="1">
      <alignment horizontal="center" vertical="center"/>
    </xf>
    <xf numFmtId="2" fontId="55" fillId="35" borderId="0" xfId="0" applyFont="1" applyFill="1" applyBorder="1" applyAlignment="1">
      <alignment horizontal="left" vertical="center"/>
    </xf>
    <xf numFmtId="2" fontId="33" fillId="0" borderId="0" xfId="0" applyFont="1" applyAlignment="1">
      <alignment horizontal="center" vertical="center"/>
    </xf>
    <xf numFmtId="2" fontId="33" fillId="0" borderId="0" xfId="0" applyFont="1" applyBorder="1" applyAlignment="1">
      <alignment horizontal="center" vertical="center"/>
    </xf>
    <xf numFmtId="2" fontId="37" fillId="35" borderId="0" xfId="0" applyFont="1" applyFill="1" applyBorder="1" applyAlignment="1">
      <alignment horizontal="left" vertical="center"/>
    </xf>
    <xf numFmtId="2" fontId="44" fillId="35" borderId="0" xfId="0" applyFont="1" applyFill="1" applyBorder="1" applyAlignment="1">
      <alignment horizontal="center" vertical="center"/>
    </xf>
    <xf numFmtId="2" fontId="85" fillId="0" borderId="51" xfId="0" applyFont="1" applyFill="1" applyBorder="1" applyAlignment="1">
      <alignment horizontal="left"/>
    </xf>
    <xf numFmtId="2" fontId="19" fillId="34" borderId="22" xfId="0" applyFont="1" applyFill="1" applyBorder="1" applyAlignment="1">
      <alignment horizontal="center" vertical="center"/>
    </xf>
    <xf numFmtId="2" fontId="21" fillId="0" borderId="0" xfId="0" applyFont="1" applyAlignment="1">
      <alignment horizontal="center" vertical="center"/>
    </xf>
    <xf numFmtId="2" fontId="52" fillId="34" borderId="0" xfId="0" applyFont="1" applyFill="1" applyBorder="1" applyAlignment="1">
      <alignment horizontal="left"/>
    </xf>
    <xf numFmtId="2" fontId="52" fillId="34" borderId="0" xfId="0" applyFont="1" applyFill="1" applyAlignment="1">
      <alignment horizontal="left"/>
    </xf>
    <xf numFmtId="2" fontId="52" fillId="34" borderId="23" xfId="0" applyFont="1" applyFill="1" applyBorder="1" applyAlignment="1">
      <alignment horizontal="left"/>
    </xf>
    <xf numFmtId="2" fontId="0" fillId="34" borderId="0" xfId="0" applyFont="1" applyFill="1" applyBorder="1" applyAlignment="1">
      <alignment horizontal="left" vertical="top" textRotation="91"/>
    </xf>
    <xf numFmtId="2" fontId="0" fillId="34" borderId="23" xfId="0" applyFont="1" applyFill="1" applyBorder="1" applyAlignment="1">
      <alignment horizontal="left" vertical="top" textRotation="91"/>
    </xf>
    <xf numFmtId="2" fontId="50" fillId="34" borderId="19" xfId="0" applyFont="1" applyFill="1" applyBorder="1" applyAlignment="1" applyProtection="1">
      <alignment horizontal="center" vertical="center"/>
      <protection locked="0"/>
    </xf>
    <xf numFmtId="2" fontId="51" fillId="34" borderId="19" xfId="0" applyFont="1" applyFill="1" applyBorder="1" applyAlignment="1" applyProtection="1">
      <alignment horizontal="center" vertical="center"/>
      <protection locked="0"/>
    </xf>
    <xf numFmtId="2" fontId="28" fillId="34" borderId="20" xfId="0" applyFont="1" applyFill="1" applyBorder="1" applyAlignment="1">
      <alignment horizontal="center" vertical="center"/>
    </xf>
    <xf numFmtId="2" fontId="0" fillId="34" borderId="20" xfId="0" applyFont="1" applyFill="1" applyBorder="1" applyAlignment="1">
      <alignment horizontal="center" vertical="center"/>
    </xf>
    <xf numFmtId="2" fontId="44" fillId="0" borderId="0" xfId="0" applyFont="1" applyFill="1" applyBorder="1" applyAlignment="1">
      <alignment horizontal="center" vertical="center"/>
    </xf>
    <xf numFmtId="2" fontId="0" fillId="34" borderId="0" xfId="0" applyFont="1" applyFill="1" applyBorder="1" applyAlignment="1">
      <alignment horizontal="left" vertical="center" textRotation="96"/>
    </xf>
    <xf numFmtId="2" fontId="15" fillId="0" borderId="0" xfId="0" applyFont="1" applyFill="1" applyBorder="1" applyAlignment="1">
      <alignment horizontal="center" vertical="center"/>
    </xf>
    <xf numFmtId="2" fontId="37" fillId="34" borderId="0" xfId="0" applyFont="1" applyFill="1" applyBorder="1" applyAlignment="1">
      <alignment horizontal="center" vertical="center"/>
    </xf>
    <xf numFmtId="2" fontId="0" fillId="34" borderId="0" xfId="0" applyFont="1" applyFill="1" applyAlignment="1">
      <alignment horizontal="center" vertical="center"/>
    </xf>
    <xf numFmtId="2" fontId="28" fillId="34" borderId="39" xfId="0" applyFont="1" applyFill="1" applyBorder="1" applyAlignment="1">
      <alignment horizontal="center" vertical="center"/>
    </xf>
    <xf numFmtId="2" fontId="0" fillId="34" borderId="20" xfId="0" applyFont="1" applyFill="1" applyBorder="1" applyAlignment="1">
      <alignment horizontal="center" vertical="center"/>
    </xf>
    <xf numFmtId="2" fontId="17" fillId="34" borderId="0" xfId="0" applyFont="1" applyFill="1" applyBorder="1" applyAlignment="1">
      <alignment horizontal="left" vertical="center"/>
    </xf>
    <xf numFmtId="2" fontId="42" fillId="34" borderId="0" xfId="0" applyFont="1" applyFill="1" applyBorder="1" applyAlignment="1">
      <alignment horizontal="center" vertical="center"/>
    </xf>
    <xf numFmtId="2" fontId="0" fillId="0" borderId="0" xfId="0" applyAlignment="1">
      <alignment horizontal="center" vertical="center"/>
    </xf>
    <xf numFmtId="2" fontId="83" fillId="0" borderId="35" xfId="0" applyFont="1" applyBorder="1" applyAlignment="1" applyProtection="1" quotePrefix="1">
      <alignment horizontal="right"/>
      <protection/>
    </xf>
    <xf numFmtId="2" fontId="83" fillId="0" borderId="35" xfId="0" applyFont="1" applyBorder="1" applyAlignment="1" applyProtection="1">
      <alignment horizontal="center" vertical="center"/>
      <protection/>
    </xf>
    <xf numFmtId="2" fontId="26" fillId="0" borderId="0" xfId="0" applyFont="1" applyAlignment="1" applyProtection="1">
      <alignment horizontal="center"/>
      <protection/>
    </xf>
    <xf numFmtId="2" fontId="26" fillId="0" borderId="0" xfId="0" applyFont="1" applyAlignment="1">
      <alignment horizontal="center" vertical="center"/>
    </xf>
    <xf numFmtId="2" fontId="26" fillId="0" borderId="16" xfId="0" applyFont="1" applyBorder="1" applyAlignment="1">
      <alignment horizontal="center" vertical="center"/>
    </xf>
    <xf numFmtId="2" fontId="49" fillId="0" borderId="17" xfId="0" applyFont="1" applyFill="1" applyBorder="1" applyAlignment="1" applyProtection="1">
      <alignment horizontal="center" vertical="center"/>
      <protection/>
    </xf>
    <xf numFmtId="2" fontId="26" fillId="0" borderId="15" xfId="0" applyFont="1" applyFill="1" applyBorder="1" applyAlignment="1" applyProtection="1">
      <alignment horizontal="center" vertical="center"/>
      <protection/>
    </xf>
    <xf numFmtId="2" fontId="1" fillId="0" borderId="0" xfId="0" applyFont="1" applyBorder="1" applyAlignment="1" quotePrefix="1">
      <alignment horizontal="right" vertical="center"/>
    </xf>
    <xf numFmtId="2" fontId="1" fillId="0" borderId="0" xfId="0" applyFont="1" applyBorder="1" applyAlignment="1">
      <alignment horizontal="right" vertical="center"/>
    </xf>
    <xf numFmtId="2" fontId="49" fillId="0" borderId="40" xfId="0" applyFont="1" applyBorder="1" applyAlignment="1" applyProtection="1">
      <alignment horizontal="right"/>
      <protection/>
    </xf>
    <xf numFmtId="2" fontId="26" fillId="0" borderId="19" xfId="0" applyFont="1" applyBorder="1" applyAlignment="1">
      <alignment horizontal="center"/>
    </xf>
    <xf numFmtId="2" fontId="26" fillId="0" borderId="60" xfId="0" applyFont="1" applyBorder="1" applyAlignment="1">
      <alignment horizontal="center"/>
    </xf>
    <xf numFmtId="2" fontId="31" fillId="34" borderId="0" xfId="0" applyFont="1" applyFill="1" applyBorder="1" applyAlignment="1">
      <alignment horizontal="center" vertical="center"/>
    </xf>
    <xf numFmtId="2" fontId="9" fillId="34" borderId="0" xfId="0" applyFont="1" applyFill="1" applyBorder="1" applyAlignment="1">
      <alignment horizontal="center" vertical="center"/>
    </xf>
    <xf numFmtId="2" fontId="19" fillId="34" borderId="0" xfId="0" applyFont="1" applyFill="1" applyBorder="1" applyAlignment="1">
      <alignment horizontal="left"/>
    </xf>
    <xf numFmtId="2" fontId="19" fillId="34" borderId="0" xfId="0" applyFont="1" applyFill="1" applyBorder="1" applyAlignment="1">
      <alignment horizontal="center"/>
    </xf>
    <xf numFmtId="2" fontId="17" fillId="34" borderId="18" xfId="0" applyFont="1" applyFill="1" applyBorder="1" applyAlignment="1">
      <alignment horizontal="left" vertical="center"/>
    </xf>
    <xf numFmtId="2" fontId="42" fillId="34" borderId="18" xfId="0" applyFont="1" applyFill="1" applyBorder="1" applyAlignment="1">
      <alignment horizontal="left" vertical="center"/>
    </xf>
    <xf numFmtId="2" fontId="17" fillId="34" borderId="19" xfId="0" applyFont="1" applyFill="1" applyBorder="1" applyAlignment="1">
      <alignment horizontal="left" vertical="center"/>
    </xf>
    <xf numFmtId="2" fontId="42" fillId="34" borderId="19" xfId="0" applyFont="1" applyFill="1" applyBorder="1" applyAlignment="1">
      <alignment horizontal="center" vertical="center"/>
    </xf>
    <xf numFmtId="2" fontId="15" fillId="34" borderId="19" xfId="0" applyFont="1" applyFill="1" applyBorder="1" applyAlignment="1">
      <alignment horizontal="left" vertical="center"/>
    </xf>
    <xf numFmtId="2" fontId="0" fillId="34" borderId="19" xfId="0" applyFill="1" applyBorder="1" applyAlignment="1">
      <alignment horizontal="left" vertical="center"/>
    </xf>
    <xf numFmtId="2" fontId="23" fillId="34" borderId="34" xfId="0" applyFont="1" applyFill="1" applyBorder="1" applyAlignment="1" quotePrefix="1">
      <alignment horizontal="center" vertical="center"/>
    </xf>
    <xf numFmtId="2" fontId="0" fillId="34" borderId="35" xfId="0" applyFill="1" applyBorder="1" applyAlignment="1">
      <alignment horizontal="center" vertical="center"/>
    </xf>
    <xf numFmtId="2" fontId="0" fillId="34" borderId="36" xfId="0" applyFill="1" applyBorder="1" applyAlignment="1">
      <alignment horizontal="center" vertical="center"/>
    </xf>
    <xf numFmtId="2" fontId="6" fillId="34" borderId="0" xfId="0" applyFont="1" applyFill="1" applyBorder="1" applyAlignment="1">
      <alignment horizontal="center" vertical="center"/>
    </xf>
    <xf numFmtId="2" fontId="0" fillId="34" borderId="28" xfId="0" applyFill="1" applyBorder="1" applyAlignment="1">
      <alignment horizontal="center" vertical="center"/>
    </xf>
    <xf numFmtId="2" fontId="53" fillId="34" borderId="18" xfId="0" applyFont="1" applyFill="1" applyBorder="1" applyAlignment="1">
      <alignment horizontal="center" vertical="center"/>
    </xf>
    <xf numFmtId="2" fontId="0" fillId="34" borderId="37" xfId="0" applyFill="1" applyBorder="1" applyAlignment="1">
      <alignment horizontal="center" vertical="center"/>
    </xf>
    <xf numFmtId="2" fontId="6" fillId="34" borderId="0" xfId="0" applyNumberFormat="1" applyFont="1" applyFill="1" applyBorder="1" applyAlignment="1">
      <alignment horizontal="center" vertical="center"/>
    </xf>
    <xf numFmtId="2" fontId="0" fillId="34" borderId="28" xfId="0" applyNumberFormat="1" applyFill="1" applyBorder="1" applyAlignment="1">
      <alignment horizontal="center" vertical="center"/>
    </xf>
    <xf numFmtId="2" fontId="53" fillId="34" borderId="18" xfId="0" applyNumberFormat="1" applyFont="1" applyFill="1" applyBorder="1" applyAlignment="1">
      <alignment horizontal="center" vertical="center"/>
    </xf>
    <xf numFmtId="2" fontId="0" fillId="34" borderId="37" xfId="0" applyNumberFormat="1" applyFill="1" applyBorder="1" applyAlignment="1">
      <alignment horizontal="center" vertical="center"/>
    </xf>
    <xf numFmtId="2" fontId="6" fillId="34" borderId="0" xfId="0" applyFont="1" applyFill="1" applyBorder="1" applyAlignment="1">
      <alignment horizontal="left" vertical="center"/>
    </xf>
    <xf numFmtId="2" fontId="0" fillId="34" borderId="28" xfId="0" applyFill="1" applyBorder="1" applyAlignment="1">
      <alignment horizontal="left" vertical="center"/>
    </xf>
    <xf numFmtId="2" fontId="6" fillId="34" borderId="29" xfId="0" applyFont="1" applyFill="1" applyBorder="1" applyAlignment="1">
      <alignment horizontal="center" vertical="center"/>
    </xf>
    <xf numFmtId="0" fontId="52" fillId="34" borderId="0" xfId="0" applyNumberFormat="1" applyFont="1" applyFill="1" applyAlignment="1">
      <alignment horizontal="center" vertical="center"/>
    </xf>
    <xf numFmtId="0" fontId="74" fillId="34" borderId="0" xfId="0" applyNumberFormat="1" applyFont="1" applyFill="1" applyAlignment="1">
      <alignment horizontal="center" vertical="center"/>
    </xf>
    <xf numFmtId="2" fontId="77" fillId="34" borderId="0" xfId="0" applyFont="1" applyFill="1" applyAlignment="1">
      <alignment horizontal="left" vertical="center"/>
    </xf>
    <xf numFmtId="2" fontId="51" fillId="34" borderId="0" xfId="0" applyFont="1" applyFill="1" applyAlignment="1">
      <alignment horizontal="left" vertical="center"/>
    </xf>
    <xf numFmtId="2" fontId="51" fillId="34" borderId="0" xfId="0" applyFont="1" applyFill="1" applyAlignment="1">
      <alignment horizontal="center" vertical="center"/>
    </xf>
    <xf numFmtId="2" fontId="56" fillId="34" borderId="0" xfId="0" applyFont="1" applyFill="1" applyAlignment="1">
      <alignment horizontal="left" vertical="center"/>
    </xf>
    <xf numFmtId="2" fontId="56" fillId="34" borderId="0" xfId="0" applyFont="1" applyFill="1" applyAlignment="1">
      <alignment horizontal="center" vertical="center"/>
    </xf>
    <xf numFmtId="2" fontId="0" fillId="34" borderId="0" xfId="0" applyFont="1" applyFill="1" applyAlignment="1">
      <alignment horizontal="left" vertical="top" wrapText="1"/>
    </xf>
    <xf numFmtId="2" fontId="0" fillId="34" borderId="0" xfId="0" applyFont="1" applyFill="1" applyAlignment="1">
      <alignment horizontal="center" vertical="center" wrapText="1"/>
    </xf>
    <xf numFmtId="2" fontId="0" fillId="34" borderId="0" xfId="0" applyFill="1" applyAlignment="1">
      <alignment horizontal="center" vertical="center"/>
    </xf>
    <xf numFmtId="2" fontId="66" fillId="34" borderId="0" xfId="0" applyFont="1" applyFill="1" applyAlignment="1">
      <alignment horizontal="left" vertical="center"/>
    </xf>
    <xf numFmtId="2" fontId="33" fillId="34" borderId="0" xfId="0" applyFont="1" applyFill="1" applyAlignment="1">
      <alignment horizontal="left" vertical="center"/>
    </xf>
    <xf numFmtId="2" fontId="33" fillId="34" borderId="0" xfId="0" applyFont="1" applyFill="1" applyAlignment="1">
      <alignment horizontal="center" vertical="center"/>
    </xf>
    <xf numFmtId="2" fontId="0" fillId="0" borderId="0" xfId="0" applyFont="1" applyAlignment="1">
      <alignment horizontal="left" vertical="top" wrapText="1"/>
    </xf>
    <xf numFmtId="2" fontId="6" fillId="34" borderId="0" xfId="0" applyFont="1" applyFill="1" applyAlignment="1">
      <alignment horizontal="left" vertical="top" wrapText="1"/>
    </xf>
    <xf numFmtId="2" fontId="0" fillId="34" borderId="0" xfId="0" applyFont="1" applyFill="1" applyAlignment="1">
      <alignment horizontal="left" vertical="top" wrapText="1"/>
    </xf>
    <xf numFmtId="2" fontId="0" fillId="34" borderId="0" xfId="0" applyNumberFormat="1" applyFont="1" applyFill="1" applyAlignment="1">
      <alignment horizontal="left" vertical="top" wrapText="1"/>
    </xf>
    <xf numFmtId="2" fontId="0" fillId="0" borderId="0" xfId="0" applyFont="1" applyAlignment="1">
      <alignment horizontal="center" vertical="center" wrapText="1"/>
    </xf>
    <xf numFmtId="2" fontId="0" fillId="0" borderId="0" xfId="0" applyFont="1" applyFill="1" applyBorder="1" applyAlignment="1">
      <alignment horizontal="left" vertical="top" wrapText="1"/>
    </xf>
    <xf numFmtId="2" fontId="15" fillId="34" borderId="0" xfId="0" applyFont="1" applyFill="1" applyAlignment="1">
      <alignment horizontal="left" vertical="top" wrapText="1"/>
    </xf>
    <xf numFmtId="2" fontId="0" fillId="34" borderId="0" xfId="0" applyFill="1" applyAlignment="1">
      <alignment horizontal="center" vertical="center" wrapText="1"/>
    </xf>
    <xf numFmtId="2" fontId="0" fillId="0" borderId="0" xfId="0" applyAlignment="1">
      <alignment horizontal="center" vertical="center" wrapText="1"/>
    </xf>
    <xf numFmtId="2" fontId="31" fillId="34" borderId="0" xfId="0" applyFont="1" applyFill="1" applyAlignment="1">
      <alignment horizontal="left" vertical="center" wrapText="1"/>
    </xf>
    <xf numFmtId="2" fontId="31" fillId="0" borderId="0" xfId="0" applyFont="1" applyAlignment="1">
      <alignment horizontal="left" vertical="center" wrapText="1"/>
    </xf>
    <xf numFmtId="2" fontId="31" fillId="0" borderId="0" xfId="0" applyFont="1" applyAlignment="1">
      <alignment horizontal="center" vertical="center" wrapText="1"/>
    </xf>
    <xf numFmtId="0" fontId="0" fillId="34" borderId="0" xfId="0" applyNumberFormat="1" applyFont="1" applyFill="1" applyAlignment="1">
      <alignment horizontal="left" vertical="top" wrapText="1"/>
    </xf>
    <xf numFmtId="0" fontId="0" fillId="0" borderId="0" xfId="0" applyNumberFormat="1" applyFont="1" applyAlignment="1">
      <alignment horizontal="left" vertical="top" wrapText="1"/>
    </xf>
    <xf numFmtId="2" fontId="0" fillId="0" borderId="0" xfId="0" applyFont="1" applyAlignment="1">
      <alignment horizontal="center" vertical="center" wrapText="1"/>
    </xf>
    <xf numFmtId="2" fontId="31" fillId="34" borderId="0" xfId="0" applyFont="1" applyFill="1" applyAlignment="1">
      <alignment horizontal="right" vertical="center"/>
    </xf>
    <xf numFmtId="2" fontId="1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49</xdr:row>
      <xdr:rowOff>190500</xdr:rowOff>
    </xdr:from>
    <xdr:to>
      <xdr:col>3</xdr:col>
      <xdr:colOff>933450</xdr:colOff>
      <xdr:row>50</xdr:row>
      <xdr:rowOff>133350</xdr:rowOff>
    </xdr:to>
    <xdr:sp>
      <xdr:nvSpPr>
        <xdr:cNvPr id="1" name="Rectangle 286"/>
        <xdr:cNvSpPr>
          <a:spLocks/>
        </xdr:cNvSpPr>
      </xdr:nvSpPr>
      <xdr:spPr>
        <a:xfrm>
          <a:off x="3028950" y="10058400"/>
          <a:ext cx="409575" cy="1905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Berm</a:t>
          </a:r>
        </a:p>
      </xdr:txBody>
    </xdr:sp>
    <xdr:clientData/>
  </xdr:twoCellAnchor>
  <xdr:twoCellAnchor>
    <xdr:from>
      <xdr:col>6</xdr:col>
      <xdr:colOff>0</xdr:colOff>
      <xdr:row>41</xdr:row>
      <xdr:rowOff>0</xdr:rowOff>
    </xdr:from>
    <xdr:to>
      <xdr:col>7</xdr:col>
      <xdr:colOff>66675</xdr:colOff>
      <xdr:row>41</xdr:row>
      <xdr:rowOff>0</xdr:rowOff>
    </xdr:to>
    <xdr:sp>
      <xdr:nvSpPr>
        <xdr:cNvPr id="2" name="Line 9"/>
        <xdr:cNvSpPr>
          <a:spLocks/>
        </xdr:cNvSpPr>
      </xdr:nvSpPr>
      <xdr:spPr>
        <a:xfrm>
          <a:off x="5391150" y="8201025"/>
          <a:ext cx="1028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40</xdr:row>
      <xdr:rowOff>0</xdr:rowOff>
    </xdr:from>
    <xdr:to>
      <xdr:col>7</xdr:col>
      <xdr:colOff>295275</xdr:colOff>
      <xdr:row>41</xdr:row>
      <xdr:rowOff>0</xdr:rowOff>
    </xdr:to>
    <xdr:sp>
      <xdr:nvSpPr>
        <xdr:cNvPr id="3" name="Line 10"/>
        <xdr:cNvSpPr>
          <a:spLocks/>
        </xdr:cNvSpPr>
      </xdr:nvSpPr>
      <xdr:spPr>
        <a:xfrm flipV="1">
          <a:off x="6419850" y="8010525"/>
          <a:ext cx="22860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40</xdr:row>
      <xdr:rowOff>0</xdr:rowOff>
    </xdr:from>
    <xdr:to>
      <xdr:col>7</xdr:col>
      <xdr:colOff>295275</xdr:colOff>
      <xdr:row>40</xdr:row>
      <xdr:rowOff>0</xdr:rowOff>
    </xdr:to>
    <xdr:sp>
      <xdr:nvSpPr>
        <xdr:cNvPr id="4" name="Line 11"/>
        <xdr:cNvSpPr>
          <a:spLocks/>
        </xdr:cNvSpPr>
      </xdr:nvSpPr>
      <xdr:spPr>
        <a:xfrm>
          <a:off x="6648450" y="801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40</xdr:row>
      <xdr:rowOff>0</xdr:rowOff>
    </xdr:from>
    <xdr:to>
      <xdr:col>9</xdr:col>
      <xdr:colOff>295275</xdr:colOff>
      <xdr:row>40</xdr:row>
      <xdr:rowOff>47625</xdr:rowOff>
    </xdr:to>
    <xdr:sp>
      <xdr:nvSpPr>
        <xdr:cNvPr id="5" name="Line 13"/>
        <xdr:cNvSpPr>
          <a:spLocks/>
        </xdr:cNvSpPr>
      </xdr:nvSpPr>
      <xdr:spPr>
        <a:xfrm>
          <a:off x="6648450" y="8010525"/>
          <a:ext cx="2000250" cy="47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34</xdr:row>
      <xdr:rowOff>152400</xdr:rowOff>
    </xdr:from>
    <xdr:to>
      <xdr:col>6</xdr:col>
      <xdr:colOff>0</xdr:colOff>
      <xdr:row>41</xdr:row>
      <xdr:rowOff>0</xdr:rowOff>
    </xdr:to>
    <xdr:sp>
      <xdr:nvSpPr>
        <xdr:cNvPr id="6" name="Line 17"/>
        <xdr:cNvSpPr>
          <a:spLocks/>
        </xdr:cNvSpPr>
      </xdr:nvSpPr>
      <xdr:spPr>
        <a:xfrm flipH="1" flipV="1">
          <a:off x="3667125" y="6915150"/>
          <a:ext cx="1724025" cy="1285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34</xdr:row>
      <xdr:rowOff>0</xdr:rowOff>
    </xdr:from>
    <xdr:to>
      <xdr:col>3</xdr:col>
      <xdr:colOff>638175</xdr:colOff>
      <xdr:row>34</xdr:row>
      <xdr:rowOff>0</xdr:rowOff>
    </xdr:to>
    <xdr:sp>
      <xdr:nvSpPr>
        <xdr:cNvPr id="7" name="Line 18"/>
        <xdr:cNvSpPr>
          <a:spLocks/>
        </xdr:cNvSpPr>
      </xdr:nvSpPr>
      <xdr:spPr>
        <a:xfrm flipH="1">
          <a:off x="2028825" y="6762750"/>
          <a:ext cx="1114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85725</xdr:rowOff>
    </xdr:from>
    <xdr:to>
      <xdr:col>2</xdr:col>
      <xdr:colOff>485775</xdr:colOff>
      <xdr:row>34</xdr:row>
      <xdr:rowOff>0</xdr:rowOff>
    </xdr:to>
    <xdr:sp>
      <xdr:nvSpPr>
        <xdr:cNvPr id="8" name="Line 19"/>
        <xdr:cNvSpPr>
          <a:spLocks/>
        </xdr:cNvSpPr>
      </xdr:nvSpPr>
      <xdr:spPr>
        <a:xfrm flipH="1" flipV="1">
          <a:off x="581025" y="6610350"/>
          <a:ext cx="144780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34</xdr:row>
      <xdr:rowOff>0</xdr:rowOff>
    </xdr:from>
    <xdr:to>
      <xdr:col>2</xdr:col>
      <xdr:colOff>495300</xdr:colOff>
      <xdr:row>35</xdr:row>
      <xdr:rowOff>0</xdr:rowOff>
    </xdr:to>
    <xdr:sp>
      <xdr:nvSpPr>
        <xdr:cNvPr id="9" name="Line 21"/>
        <xdr:cNvSpPr>
          <a:spLocks/>
        </xdr:cNvSpPr>
      </xdr:nvSpPr>
      <xdr:spPr>
        <a:xfrm>
          <a:off x="2038350" y="6762750"/>
          <a:ext cx="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35</xdr:row>
      <xdr:rowOff>0</xdr:rowOff>
    </xdr:from>
    <xdr:to>
      <xdr:col>3</xdr:col>
      <xdr:colOff>533400</xdr:colOff>
      <xdr:row>35</xdr:row>
      <xdr:rowOff>0</xdr:rowOff>
    </xdr:to>
    <xdr:sp>
      <xdr:nvSpPr>
        <xdr:cNvPr id="10" name="Line 22"/>
        <xdr:cNvSpPr>
          <a:spLocks/>
        </xdr:cNvSpPr>
      </xdr:nvSpPr>
      <xdr:spPr>
        <a:xfrm>
          <a:off x="2038350" y="6953250"/>
          <a:ext cx="1000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35</xdr:row>
      <xdr:rowOff>133350</xdr:rowOff>
    </xdr:from>
    <xdr:to>
      <xdr:col>5</xdr:col>
      <xdr:colOff>828675</xdr:colOff>
      <xdr:row>42</xdr:row>
      <xdr:rowOff>0</xdr:rowOff>
    </xdr:to>
    <xdr:sp>
      <xdr:nvSpPr>
        <xdr:cNvPr id="11" name="Line 24"/>
        <xdr:cNvSpPr>
          <a:spLocks/>
        </xdr:cNvSpPr>
      </xdr:nvSpPr>
      <xdr:spPr>
        <a:xfrm>
          <a:off x="3514725" y="7086600"/>
          <a:ext cx="1743075" cy="1314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42</xdr:row>
      <xdr:rowOff>0</xdr:rowOff>
    </xdr:from>
    <xdr:to>
      <xdr:col>7</xdr:col>
      <xdr:colOff>85725</xdr:colOff>
      <xdr:row>42</xdr:row>
      <xdr:rowOff>0</xdr:rowOff>
    </xdr:to>
    <xdr:sp>
      <xdr:nvSpPr>
        <xdr:cNvPr id="12" name="Line 25"/>
        <xdr:cNvSpPr>
          <a:spLocks/>
        </xdr:cNvSpPr>
      </xdr:nvSpPr>
      <xdr:spPr>
        <a:xfrm>
          <a:off x="5257800" y="8401050"/>
          <a:ext cx="1181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40</xdr:row>
      <xdr:rowOff>0</xdr:rowOff>
    </xdr:from>
    <xdr:to>
      <xdr:col>7</xdr:col>
      <xdr:colOff>304800</xdr:colOff>
      <xdr:row>41</xdr:row>
      <xdr:rowOff>66675</xdr:rowOff>
    </xdr:to>
    <xdr:sp>
      <xdr:nvSpPr>
        <xdr:cNvPr id="13" name="Line 27"/>
        <xdr:cNvSpPr>
          <a:spLocks/>
        </xdr:cNvSpPr>
      </xdr:nvSpPr>
      <xdr:spPr>
        <a:xfrm>
          <a:off x="6657975" y="8010525"/>
          <a:ext cx="0" cy="257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41</xdr:row>
      <xdr:rowOff>57150</xdr:rowOff>
    </xdr:from>
    <xdr:to>
      <xdr:col>7</xdr:col>
      <xdr:colOff>304800</xdr:colOff>
      <xdr:row>42</xdr:row>
      <xdr:rowOff>0</xdr:rowOff>
    </xdr:to>
    <xdr:sp>
      <xdr:nvSpPr>
        <xdr:cNvPr id="14" name="Line 28"/>
        <xdr:cNvSpPr>
          <a:spLocks/>
        </xdr:cNvSpPr>
      </xdr:nvSpPr>
      <xdr:spPr>
        <a:xfrm flipV="1">
          <a:off x="6438900" y="8258175"/>
          <a:ext cx="219075" cy="142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37</xdr:row>
      <xdr:rowOff>114300</xdr:rowOff>
    </xdr:from>
    <xdr:to>
      <xdr:col>6</xdr:col>
      <xdr:colOff>361950</xdr:colOff>
      <xdr:row>39</xdr:row>
      <xdr:rowOff>95250</xdr:rowOff>
    </xdr:to>
    <xdr:sp>
      <xdr:nvSpPr>
        <xdr:cNvPr id="15" name="Freeform 32"/>
        <xdr:cNvSpPr>
          <a:spLocks/>
        </xdr:cNvSpPr>
      </xdr:nvSpPr>
      <xdr:spPr>
        <a:xfrm>
          <a:off x="5514975" y="7553325"/>
          <a:ext cx="238125" cy="361950"/>
        </a:xfrm>
        <a:custGeom>
          <a:pathLst>
            <a:path h="32" w="25">
              <a:moveTo>
                <a:pt x="0" y="32"/>
              </a:moveTo>
              <a:cubicBezTo>
                <a:pt x="9" y="31"/>
                <a:pt x="19" y="31"/>
                <a:pt x="22" y="29"/>
              </a:cubicBezTo>
              <a:cubicBezTo>
                <a:pt x="25" y="27"/>
                <a:pt x="23" y="23"/>
                <a:pt x="22" y="21"/>
              </a:cubicBezTo>
              <a:cubicBezTo>
                <a:pt x="21" y="19"/>
                <a:pt x="16" y="17"/>
                <a:pt x="13" y="16"/>
              </a:cubicBezTo>
              <a:cubicBezTo>
                <a:pt x="10" y="15"/>
                <a:pt x="6" y="14"/>
                <a:pt x="4" y="12"/>
              </a:cubicBezTo>
              <a:cubicBezTo>
                <a:pt x="2" y="10"/>
                <a:pt x="2" y="8"/>
                <a:pt x="3" y="6"/>
              </a:cubicBezTo>
              <a:cubicBezTo>
                <a:pt x="4" y="4"/>
                <a:pt x="6" y="2"/>
                <a:pt x="9" y="1"/>
              </a:cubicBezTo>
              <a:cubicBezTo>
                <a:pt x="12" y="0"/>
                <a:pt x="18" y="1"/>
                <a:pt x="20" y="1"/>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37</xdr:row>
      <xdr:rowOff>123825</xdr:rowOff>
    </xdr:from>
    <xdr:to>
      <xdr:col>7</xdr:col>
      <xdr:colOff>38100</xdr:colOff>
      <xdr:row>37</xdr:row>
      <xdr:rowOff>133350</xdr:rowOff>
    </xdr:to>
    <xdr:sp>
      <xdr:nvSpPr>
        <xdr:cNvPr id="16" name="Line 33"/>
        <xdr:cNvSpPr>
          <a:spLocks/>
        </xdr:cNvSpPr>
      </xdr:nvSpPr>
      <xdr:spPr>
        <a:xfrm>
          <a:off x="5753100" y="7562850"/>
          <a:ext cx="638175" cy="95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37</xdr:row>
      <xdr:rowOff>123825</xdr:rowOff>
    </xdr:from>
    <xdr:to>
      <xdr:col>6</xdr:col>
      <xdr:colOff>390525</xdr:colOff>
      <xdr:row>37</xdr:row>
      <xdr:rowOff>123825</xdr:rowOff>
    </xdr:to>
    <xdr:sp>
      <xdr:nvSpPr>
        <xdr:cNvPr id="17" name="Line 34"/>
        <xdr:cNvSpPr>
          <a:spLocks/>
        </xdr:cNvSpPr>
      </xdr:nvSpPr>
      <xdr:spPr>
        <a:xfrm>
          <a:off x="5686425" y="7562850"/>
          <a:ext cx="952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xdr:row>
      <xdr:rowOff>85725</xdr:rowOff>
    </xdr:from>
    <xdr:to>
      <xdr:col>6</xdr:col>
      <xdr:colOff>142875</xdr:colOff>
      <xdr:row>39</xdr:row>
      <xdr:rowOff>95250</xdr:rowOff>
    </xdr:to>
    <xdr:sp>
      <xdr:nvSpPr>
        <xdr:cNvPr id="18" name="Line 37"/>
        <xdr:cNvSpPr>
          <a:spLocks/>
        </xdr:cNvSpPr>
      </xdr:nvSpPr>
      <xdr:spPr>
        <a:xfrm flipH="1" flipV="1">
          <a:off x="5391150" y="7905750"/>
          <a:ext cx="1428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85725</xdr:rowOff>
    </xdr:from>
    <xdr:to>
      <xdr:col>6</xdr:col>
      <xdr:colOff>0</xdr:colOff>
      <xdr:row>39</xdr:row>
      <xdr:rowOff>85725</xdr:rowOff>
    </xdr:to>
    <xdr:sp>
      <xdr:nvSpPr>
        <xdr:cNvPr id="19" name="Freeform 42"/>
        <xdr:cNvSpPr>
          <a:spLocks/>
        </xdr:cNvSpPr>
      </xdr:nvSpPr>
      <xdr:spPr>
        <a:xfrm>
          <a:off x="590550" y="5657850"/>
          <a:ext cx="4800600" cy="2247900"/>
        </a:xfrm>
        <a:custGeom>
          <a:pathLst>
            <a:path h="170" w="444">
              <a:moveTo>
                <a:pt x="444" y="170"/>
              </a:moveTo>
              <a:cubicBezTo>
                <a:pt x="408" y="145"/>
                <a:pt x="372" y="120"/>
                <a:pt x="350" y="105"/>
              </a:cubicBezTo>
              <a:cubicBezTo>
                <a:pt x="328" y="90"/>
                <a:pt x="323" y="86"/>
                <a:pt x="313" y="79"/>
              </a:cubicBezTo>
              <a:cubicBezTo>
                <a:pt x="303" y="72"/>
                <a:pt x="296" y="65"/>
                <a:pt x="288" y="60"/>
              </a:cubicBezTo>
              <a:cubicBezTo>
                <a:pt x="280" y="55"/>
                <a:pt x="272" y="53"/>
                <a:pt x="265" y="51"/>
              </a:cubicBezTo>
              <a:cubicBezTo>
                <a:pt x="258" y="49"/>
                <a:pt x="260" y="48"/>
                <a:pt x="248" y="46"/>
              </a:cubicBezTo>
              <a:cubicBezTo>
                <a:pt x="236" y="44"/>
                <a:pt x="207" y="45"/>
                <a:pt x="193" y="42"/>
              </a:cubicBezTo>
              <a:cubicBezTo>
                <a:pt x="179" y="39"/>
                <a:pt x="175" y="31"/>
                <a:pt x="161" y="26"/>
              </a:cubicBezTo>
              <a:cubicBezTo>
                <a:pt x="147" y="21"/>
                <a:pt x="136" y="16"/>
                <a:pt x="109" y="12"/>
              </a:cubicBezTo>
              <a:cubicBezTo>
                <a:pt x="82" y="8"/>
                <a:pt x="18" y="2"/>
                <a:pt x="0" y="0"/>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209550</xdr:rowOff>
    </xdr:from>
    <xdr:to>
      <xdr:col>2</xdr:col>
      <xdr:colOff>19050</xdr:colOff>
      <xdr:row>30</xdr:row>
      <xdr:rowOff>66675</xdr:rowOff>
    </xdr:to>
    <xdr:sp>
      <xdr:nvSpPr>
        <xdr:cNvPr id="20" name="Freeform 43"/>
        <xdr:cNvSpPr>
          <a:spLocks/>
        </xdr:cNvSpPr>
      </xdr:nvSpPr>
      <xdr:spPr>
        <a:xfrm>
          <a:off x="590550" y="5781675"/>
          <a:ext cx="971550" cy="95250"/>
        </a:xfrm>
        <a:custGeom>
          <a:pathLst>
            <a:path h="10" w="90">
              <a:moveTo>
                <a:pt x="90" y="0"/>
              </a:moveTo>
              <a:cubicBezTo>
                <a:pt x="80" y="0"/>
                <a:pt x="71" y="1"/>
                <a:pt x="63" y="2"/>
              </a:cubicBezTo>
              <a:cubicBezTo>
                <a:pt x="55" y="3"/>
                <a:pt x="48" y="3"/>
                <a:pt x="41" y="4"/>
              </a:cubicBezTo>
              <a:cubicBezTo>
                <a:pt x="34" y="5"/>
                <a:pt x="25" y="6"/>
                <a:pt x="18" y="7"/>
              </a:cubicBezTo>
              <a:cubicBezTo>
                <a:pt x="11" y="8"/>
                <a:pt x="5" y="9"/>
                <a:pt x="0" y="10"/>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190500</xdr:rowOff>
    </xdr:from>
    <xdr:to>
      <xdr:col>3</xdr:col>
      <xdr:colOff>0</xdr:colOff>
      <xdr:row>33</xdr:row>
      <xdr:rowOff>228600</xdr:rowOff>
    </xdr:to>
    <xdr:sp>
      <xdr:nvSpPr>
        <xdr:cNvPr id="21" name="Line 45"/>
        <xdr:cNvSpPr>
          <a:spLocks/>
        </xdr:cNvSpPr>
      </xdr:nvSpPr>
      <xdr:spPr>
        <a:xfrm flipV="1">
          <a:off x="2505075" y="6477000"/>
          <a:ext cx="0" cy="2762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42</xdr:row>
      <xdr:rowOff>28575</xdr:rowOff>
    </xdr:from>
    <xdr:to>
      <xdr:col>7</xdr:col>
      <xdr:colOff>76200</xdr:colOff>
      <xdr:row>43</xdr:row>
      <xdr:rowOff>28575</xdr:rowOff>
    </xdr:to>
    <xdr:sp>
      <xdr:nvSpPr>
        <xdr:cNvPr id="22" name="Line 55"/>
        <xdr:cNvSpPr>
          <a:spLocks/>
        </xdr:cNvSpPr>
      </xdr:nvSpPr>
      <xdr:spPr>
        <a:xfrm>
          <a:off x="6429375" y="8429625"/>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28575</xdr:rowOff>
    </xdr:from>
    <xdr:to>
      <xdr:col>6</xdr:col>
      <xdr:colOff>0</xdr:colOff>
      <xdr:row>43</xdr:row>
      <xdr:rowOff>28575</xdr:rowOff>
    </xdr:to>
    <xdr:sp>
      <xdr:nvSpPr>
        <xdr:cNvPr id="23" name="Line 56"/>
        <xdr:cNvSpPr>
          <a:spLocks/>
        </xdr:cNvSpPr>
      </xdr:nvSpPr>
      <xdr:spPr>
        <a:xfrm>
          <a:off x="5391150" y="8429625"/>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7</xdr:col>
      <xdr:colOff>76200</xdr:colOff>
      <xdr:row>43</xdr:row>
      <xdr:rowOff>0</xdr:rowOff>
    </xdr:to>
    <xdr:sp>
      <xdr:nvSpPr>
        <xdr:cNvPr id="24" name="Line 57"/>
        <xdr:cNvSpPr>
          <a:spLocks/>
        </xdr:cNvSpPr>
      </xdr:nvSpPr>
      <xdr:spPr>
        <a:xfrm>
          <a:off x="5391150" y="8610600"/>
          <a:ext cx="1038225"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38100</xdr:rowOff>
    </xdr:from>
    <xdr:to>
      <xdr:col>4</xdr:col>
      <xdr:colOff>0</xdr:colOff>
      <xdr:row>34</xdr:row>
      <xdr:rowOff>0</xdr:rowOff>
    </xdr:to>
    <xdr:sp>
      <xdr:nvSpPr>
        <xdr:cNvPr id="25" name="Line 59"/>
        <xdr:cNvSpPr>
          <a:spLocks/>
        </xdr:cNvSpPr>
      </xdr:nvSpPr>
      <xdr:spPr>
        <a:xfrm>
          <a:off x="3467100" y="6324600"/>
          <a:ext cx="0" cy="4381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209550</xdr:rowOff>
    </xdr:from>
    <xdr:to>
      <xdr:col>2</xdr:col>
      <xdr:colOff>0</xdr:colOff>
      <xdr:row>33</xdr:row>
      <xdr:rowOff>180975</xdr:rowOff>
    </xdr:to>
    <xdr:sp>
      <xdr:nvSpPr>
        <xdr:cNvPr id="26" name="Line 61"/>
        <xdr:cNvSpPr>
          <a:spLocks/>
        </xdr:cNvSpPr>
      </xdr:nvSpPr>
      <xdr:spPr>
        <a:xfrm>
          <a:off x="1543050" y="6257925"/>
          <a:ext cx="0" cy="4476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35</xdr:row>
      <xdr:rowOff>19050</xdr:rowOff>
    </xdr:from>
    <xdr:to>
      <xdr:col>2</xdr:col>
      <xdr:colOff>495300</xdr:colOff>
      <xdr:row>36</xdr:row>
      <xdr:rowOff>19050</xdr:rowOff>
    </xdr:to>
    <xdr:sp>
      <xdr:nvSpPr>
        <xdr:cNvPr id="27" name="Line 65"/>
        <xdr:cNvSpPr>
          <a:spLocks/>
        </xdr:cNvSpPr>
      </xdr:nvSpPr>
      <xdr:spPr>
        <a:xfrm>
          <a:off x="2038350" y="6972300"/>
          <a:ext cx="0"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35</xdr:row>
      <xdr:rowOff>76200</xdr:rowOff>
    </xdr:from>
    <xdr:to>
      <xdr:col>3</xdr:col>
      <xdr:colOff>828675</xdr:colOff>
      <xdr:row>36</xdr:row>
      <xdr:rowOff>28575</xdr:rowOff>
    </xdr:to>
    <xdr:sp>
      <xdr:nvSpPr>
        <xdr:cNvPr id="28" name="Line 66"/>
        <xdr:cNvSpPr>
          <a:spLocks/>
        </xdr:cNvSpPr>
      </xdr:nvSpPr>
      <xdr:spPr>
        <a:xfrm>
          <a:off x="3333750" y="7029450"/>
          <a:ext cx="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35</xdr:row>
      <xdr:rowOff>228600</xdr:rowOff>
    </xdr:from>
    <xdr:to>
      <xdr:col>3</xdr:col>
      <xdr:colOff>828675</xdr:colOff>
      <xdr:row>35</xdr:row>
      <xdr:rowOff>228600</xdr:rowOff>
    </xdr:to>
    <xdr:sp>
      <xdr:nvSpPr>
        <xdr:cNvPr id="29" name="Line 67"/>
        <xdr:cNvSpPr>
          <a:spLocks/>
        </xdr:cNvSpPr>
      </xdr:nvSpPr>
      <xdr:spPr>
        <a:xfrm>
          <a:off x="2038350" y="7181850"/>
          <a:ext cx="129540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xdr:row>
      <xdr:rowOff>66675</xdr:rowOff>
    </xdr:from>
    <xdr:to>
      <xdr:col>1</xdr:col>
      <xdr:colOff>47625</xdr:colOff>
      <xdr:row>33</xdr:row>
      <xdr:rowOff>85725</xdr:rowOff>
    </xdr:to>
    <xdr:sp>
      <xdr:nvSpPr>
        <xdr:cNvPr id="30" name="Line 69"/>
        <xdr:cNvSpPr>
          <a:spLocks/>
        </xdr:cNvSpPr>
      </xdr:nvSpPr>
      <xdr:spPr>
        <a:xfrm>
          <a:off x="628650" y="5876925"/>
          <a:ext cx="0" cy="733425"/>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39</xdr:row>
      <xdr:rowOff>114300</xdr:rowOff>
    </xdr:from>
    <xdr:to>
      <xdr:col>5</xdr:col>
      <xdr:colOff>142875</xdr:colOff>
      <xdr:row>40</xdr:row>
      <xdr:rowOff>171450</xdr:rowOff>
    </xdr:to>
    <xdr:sp>
      <xdr:nvSpPr>
        <xdr:cNvPr id="31" name="Line 70"/>
        <xdr:cNvSpPr>
          <a:spLocks/>
        </xdr:cNvSpPr>
      </xdr:nvSpPr>
      <xdr:spPr>
        <a:xfrm>
          <a:off x="4572000" y="7934325"/>
          <a:ext cx="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40</xdr:row>
      <xdr:rowOff>171450</xdr:rowOff>
    </xdr:from>
    <xdr:to>
      <xdr:col>5</xdr:col>
      <xdr:colOff>495300</xdr:colOff>
      <xdr:row>40</xdr:row>
      <xdr:rowOff>171450</xdr:rowOff>
    </xdr:to>
    <xdr:sp>
      <xdr:nvSpPr>
        <xdr:cNvPr id="32" name="Line 71"/>
        <xdr:cNvSpPr>
          <a:spLocks/>
        </xdr:cNvSpPr>
      </xdr:nvSpPr>
      <xdr:spPr>
        <a:xfrm>
          <a:off x="4572000" y="8181975"/>
          <a:ext cx="352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34</xdr:row>
      <xdr:rowOff>0</xdr:rowOff>
    </xdr:from>
    <xdr:to>
      <xdr:col>6</xdr:col>
      <xdr:colOff>47625</xdr:colOff>
      <xdr:row>34</xdr:row>
      <xdr:rowOff>0</xdr:rowOff>
    </xdr:to>
    <xdr:sp>
      <xdr:nvSpPr>
        <xdr:cNvPr id="33" name="Line 72"/>
        <xdr:cNvSpPr>
          <a:spLocks/>
        </xdr:cNvSpPr>
      </xdr:nvSpPr>
      <xdr:spPr>
        <a:xfrm>
          <a:off x="3438525" y="6762750"/>
          <a:ext cx="2000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36</xdr:row>
      <xdr:rowOff>209550</xdr:rowOff>
    </xdr:from>
    <xdr:to>
      <xdr:col>6</xdr:col>
      <xdr:colOff>19050</xdr:colOff>
      <xdr:row>40</xdr:row>
      <xdr:rowOff>9525</xdr:rowOff>
    </xdr:to>
    <xdr:sp>
      <xdr:nvSpPr>
        <xdr:cNvPr id="34" name="Line 73"/>
        <xdr:cNvSpPr>
          <a:spLocks/>
        </xdr:cNvSpPr>
      </xdr:nvSpPr>
      <xdr:spPr>
        <a:xfrm>
          <a:off x="5410200" y="7400925"/>
          <a:ext cx="0" cy="6191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857250</xdr:colOff>
      <xdr:row>37</xdr:row>
      <xdr:rowOff>0</xdr:rowOff>
    </xdr:from>
    <xdr:to>
      <xdr:col>6</xdr:col>
      <xdr:colOff>857250</xdr:colOff>
      <xdr:row>40</xdr:row>
      <xdr:rowOff>171450</xdr:rowOff>
    </xdr:to>
    <xdr:sp>
      <xdr:nvSpPr>
        <xdr:cNvPr id="35" name="Line 74"/>
        <xdr:cNvSpPr>
          <a:spLocks/>
        </xdr:cNvSpPr>
      </xdr:nvSpPr>
      <xdr:spPr>
        <a:xfrm>
          <a:off x="6248400" y="7439025"/>
          <a:ext cx="0" cy="7429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41</xdr:row>
      <xdr:rowOff>0</xdr:rowOff>
    </xdr:from>
    <xdr:to>
      <xdr:col>7</xdr:col>
      <xdr:colOff>523875</xdr:colOff>
      <xdr:row>41</xdr:row>
      <xdr:rowOff>0</xdr:rowOff>
    </xdr:to>
    <xdr:sp>
      <xdr:nvSpPr>
        <xdr:cNvPr id="36" name="Line 77"/>
        <xdr:cNvSpPr>
          <a:spLocks/>
        </xdr:cNvSpPr>
      </xdr:nvSpPr>
      <xdr:spPr>
        <a:xfrm>
          <a:off x="6696075" y="8201025"/>
          <a:ext cx="180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41</xdr:row>
      <xdr:rowOff>0</xdr:rowOff>
    </xdr:from>
    <xdr:to>
      <xdr:col>7</xdr:col>
      <xdr:colOff>466725</xdr:colOff>
      <xdr:row>42</xdr:row>
      <xdr:rowOff>19050</xdr:rowOff>
    </xdr:to>
    <xdr:sp>
      <xdr:nvSpPr>
        <xdr:cNvPr id="37" name="Line 78"/>
        <xdr:cNvSpPr>
          <a:spLocks/>
        </xdr:cNvSpPr>
      </xdr:nvSpPr>
      <xdr:spPr>
        <a:xfrm>
          <a:off x="6819900" y="8201025"/>
          <a:ext cx="0" cy="21907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39</xdr:row>
      <xdr:rowOff>19050</xdr:rowOff>
    </xdr:from>
    <xdr:to>
      <xdr:col>7</xdr:col>
      <xdr:colOff>466725</xdr:colOff>
      <xdr:row>40</xdr:row>
      <xdr:rowOff>9525</xdr:rowOff>
    </xdr:to>
    <xdr:sp>
      <xdr:nvSpPr>
        <xdr:cNvPr id="38" name="Line 79"/>
        <xdr:cNvSpPr>
          <a:spLocks/>
        </xdr:cNvSpPr>
      </xdr:nvSpPr>
      <xdr:spPr>
        <a:xfrm flipV="1">
          <a:off x="6819900" y="7839075"/>
          <a:ext cx="0" cy="18097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47625</xdr:rowOff>
    </xdr:from>
    <xdr:to>
      <xdr:col>3</xdr:col>
      <xdr:colOff>0</xdr:colOff>
      <xdr:row>31</xdr:row>
      <xdr:rowOff>66675</xdr:rowOff>
    </xdr:to>
    <xdr:sp>
      <xdr:nvSpPr>
        <xdr:cNvPr id="39" name="Line 90"/>
        <xdr:cNvSpPr>
          <a:spLocks/>
        </xdr:cNvSpPr>
      </xdr:nvSpPr>
      <xdr:spPr>
        <a:xfrm flipH="1" flipV="1">
          <a:off x="2505075" y="5619750"/>
          <a:ext cx="0" cy="49530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3</xdr:col>
      <xdr:colOff>0</xdr:colOff>
      <xdr:row>54</xdr:row>
      <xdr:rowOff>0</xdr:rowOff>
    </xdr:to>
    <xdr:sp>
      <xdr:nvSpPr>
        <xdr:cNvPr id="40" name="Line 95"/>
        <xdr:cNvSpPr>
          <a:spLocks/>
        </xdr:cNvSpPr>
      </xdr:nvSpPr>
      <xdr:spPr>
        <a:xfrm>
          <a:off x="1543050" y="11049000"/>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50</xdr:row>
      <xdr:rowOff>123825</xdr:rowOff>
    </xdr:from>
    <xdr:to>
      <xdr:col>3</xdr:col>
      <xdr:colOff>447675</xdr:colOff>
      <xdr:row>54</xdr:row>
      <xdr:rowOff>0</xdr:rowOff>
    </xdr:to>
    <xdr:sp>
      <xdr:nvSpPr>
        <xdr:cNvPr id="41" name="Line 96"/>
        <xdr:cNvSpPr>
          <a:spLocks/>
        </xdr:cNvSpPr>
      </xdr:nvSpPr>
      <xdr:spPr>
        <a:xfrm flipV="1">
          <a:off x="2505075" y="10239375"/>
          <a:ext cx="447675" cy="809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50</xdr:row>
      <xdr:rowOff>123825</xdr:rowOff>
    </xdr:from>
    <xdr:to>
      <xdr:col>2</xdr:col>
      <xdr:colOff>0</xdr:colOff>
      <xdr:row>54</xdr:row>
      <xdr:rowOff>0</xdr:rowOff>
    </xdr:to>
    <xdr:sp>
      <xdr:nvSpPr>
        <xdr:cNvPr id="42" name="Line 97"/>
        <xdr:cNvSpPr>
          <a:spLocks/>
        </xdr:cNvSpPr>
      </xdr:nvSpPr>
      <xdr:spPr>
        <a:xfrm flipH="1" flipV="1">
          <a:off x="1143000" y="10239375"/>
          <a:ext cx="400050" cy="809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51</xdr:row>
      <xdr:rowOff>104775</xdr:rowOff>
    </xdr:from>
    <xdr:to>
      <xdr:col>1</xdr:col>
      <xdr:colOff>685800</xdr:colOff>
      <xdr:row>51</xdr:row>
      <xdr:rowOff>104775</xdr:rowOff>
    </xdr:to>
    <xdr:sp>
      <xdr:nvSpPr>
        <xdr:cNvPr id="43" name="Line 98"/>
        <xdr:cNvSpPr>
          <a:spLocks/>
        </xdr:cNvSpPr>
      </xdr:nvSpPr>
      <xdr:spPr>
        <a:xfrm flipH="1">
          <a:off x="1047750" y="10467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51</xdr:row>
      <xdr:rowOff>104775</xdr:rowOff>
    </xdr:from>
    <xdr:to>
      <xdr:col>3</xdr:col>
      <xdr:colOff>552450</xdr:colOff>
      <xdr:row>51</xdr:row>
      <xdr:rowOff>104775</xdr:rowOff>
    </xdr:to>
    <xdr:sp>
      <xdr:nvSpPr>
        <xdr:cNvPr id="44" name="Line 99"/>
        <xdr:cNvSpPr>
          <a:spLocks/>
        </xdr:cNvSpPr>
      </xdr:nvSpPr>
      <xdr:spPr>
        <a:xfrm>
          <a:off x="2828925" y="104679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51</xdr:row>
      <xdr:rowOff>95250</xdr:rowOff>
    </xdr:from>
    <xdr:to>
      <xdr:col>1</xdr:col>
      <xdr:colOff>895350</xdr:colOff>
      <xdr:row>55</xdr:row>
      <xdr:rowOff>0</xdr:rowOff>
    </xdr:to>
    <xdr:sp>
      <xdr:nvSpPr>
        <xdr:cNvPr id="45" name="Line 100"/>
        <xdr:cNvSpPr>
          <a:spLocks/>
        </xdr:cNvSpPr>
      </xdr:nvSpPr>
      <xdr:spPr>
        <a:xfrm>
          <a:off x="1047750" y="10458450"/>
          <a:ext cx="428625" cy="781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55</xdr:row>
      <xdr:rowOff>0</xdr:rowOff>
    </xdr:from>
    <xdr:to>
      <xdr:col>3</xdr:col>
      <xdr:colOff>95250</xdr:colOff>
      <xdr:row>55</xdr:row>
      <xdr:rowOff>0</xdr:rowOff>
    </xdr:to>
    <xdr:sp>
      <xdr:nvSpPr>
        <xdr:cNvPr id="46" name="Line 103"/>
        <xdr:cNvSpPr>
          <a:spLocks/>
        </xdr:cNvSpPr>
      </xdr:nvSpPr>
      <xdr:spPr>
        <a:xfrm>
          <a:off x="1476375" y="11239500"/>
          <a:ext cx="1123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51</xdr:row>
      <xdr:rowOff>104775</xdr:rowOff>
    </xdr:from>
    <xdr:to>
      <xdr:col>3</xdr:col>
      <xdr:colOff>542925</xdr:colOff>
      <xdr:row>55</xdr:row>
      <xdr:rowOff>0</xdr:rowOff>
    </xdr:to>
    <xdr:sp>
      <xdr:nvSpPr>
        <xdr:cNvPr id="47" name="Line 105"/>
        <xdr:cNvSpPr>
          <a:spLocks/>
        </xdr:cNvSpPr>
      </xdr:nvSpPr>
      <xdr:spPr>
        <a:xfrm flipV="1">
          <a:off x="2590800" y="10467975"/>
          <a:ext cx="457200" cy="771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50</xdr:row>
      <xdr:rowOff>123825</xdr:rowOff>
    </xdr:from>
    <xdr:to>
      <xdr:col>1</xdr:col>
      <xdr:colOff>561975</xdr:colOff>
      <xdr:row>50</xdr:row>
      <xdr:rowOff>123825</xdr:rowOff>
    </xdr:to>
    <xdr:sp>
      <xdr:nvSpPr>
        <xdr:cNvPr id="48" name="Line 106"/>
        <xdr:cNvSpPr>
          <a:spLocks/>
        </xdr:cNvSpPr>
      </xdr:nvSpPr>
      <xdr:spPr>
        <a:xfrm flipH="1">
          <a:off x="809625" y="10239375"/>
          <a:ext cx="333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50</xdr:row>
      <xdr:rowOff>123825</xdr:rowOff>
    </xdr:from>
    <xdr:to>
      <xdr:col>4</xdr:col>
      <xdr:colOff>19050</xdr:colOff>
      <xdr:row>50</xdr:row>
      <xdr:rowOff>123825</xdr:rowOff>
    </xdr:to>
    <xdr:sp>
      <xdr:nvSpPr>
        <xdr:cNvPr id="49" name="Line 108"/>
        <xdr:cNvSpPr>
          <a:spLocks/>
        </xdr:cNvSpPr>
      </xdr:nvSpPr>
      <xdr:spPr>
        <a:xfrm>
          <a:off x="2952750" y="10239375"/>
          <a:ext cx="533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36</xdr:row>
      <xdr:rowOff>142875</xdr:rowOff>
    </xdr:from>
    <xdr:to>
      <xdr:col>4</xdr:col>
      <xdr:colOff>828675</xdr:colOff>
      <xdr:row>37</xdr:row>
      <xdr:rowOff>47625</xdr:rowOff>
    </xdr:to>
    <xdr:sp>
      <xdr:nvSpPr>
        <xdr:cNvPr id="50" name="Oval 109"/>
        <xdr:cNvSpPr>
          <a:spLocks/>
        </xdr:cNvSpPr>
      </xdr:nvSpPr>
      <xdr:spPr>
        <a:xfrm>
          <a:off x="4143375" y="7334250"/>
          <a:ext cx="1524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847725</xdr:colOff>
      <xdr:row>37</xdr:row>
      <xdr:rowOff>47625</xdr:rowOff>
    </xdr:from>
    <xdr:to>
      <xdr:col>5</xdr:col>
      <xdr:colOff>38100</xdr:colOff>
      <xdr:row>38</xdr:row>
      <xdr:rowOff>19050</xdr:rowOff>
    </xdr:to>
    <xdr:sp>
      <xdr:nvSpPr>
        <xdr:cNvPr id="51" name="Oval 110"/>
        <xdr:cNvSpPr>
          <a:spLocks/>
        </xdr:cNvSpPr>
      </xdr:nvSpPr>
      <xdr:spPr>
        <a:xfrm>
          <a:off x="4314825" y="7486650"/>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37</xdr:row>
      <xdr:rowOff>47625</xdr:rowOff>
    </xdr:from>
    <xdr:to>
      <xdr:col>4</xdr:col>
      <xdr:colOff>838200</xdr:colOff>
      <xdr:row>37</xdr:row>
      <xdr:rowOff>171450</xdr:rowOff>
    </xdr:to>
    <xdr:sp>
      <xdr:nvSpPr>
        <xdr:cNvPr id="52" name="Oval 111"/>
        <xdr:cNvSpPr>
          <a:spLocks/>
        </xdr:cNvSpPr>
      </xdr:nvSpPr>
      <xdr:spPr>
        <a:xfrm>
          <a:off x="4210050" y="7486650"/>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36</xdr:row>
      <xdr:rowOff>57150</xdr:rowOff>
    </xdr:from>
    <xdr:to>
      <xdr:col>4</xdr:col>
      <xdr:colOff>714375</xdr:colOff>
      <xdr:row>36</xdr:row>
      <xdr:rowOff>200025</xdr:rowOff>
    </xdr:to>
    <xdr:sp>
      <xdr:nvSpPr>
        <xdr:cNvPr id="53" name="Oval 112"/>
        <xdr:cNvSpPr>
          <a:spLocks/>
        </xdr:cNvSpPr>
      </xdr:nvSpPr>
      <xdr:spPr>
        <a:xfrm>
          <a:off x="4038600" y="7248525"/>
          <a:ext cx="14287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36</xdr:row>
      <xdr:rowOff>219075</xdr:rowOff>
    </xdr:from>
    <xdr:to>
      <xdr:col>4</xdr:col>
      <xdr:colOff>904875</xdr:colOff>
      <xdr:row>37</xdr:row>
      <xdr:rowOff>76200</xdr:rowOff>
    </xdr:to>
    <xdr:sp>
      <xdr:nvSpPr>
        <xdr:cNvPr id="54" name="Oval 113"/>
        <xdr:cNvSpPr>
          <a:spLocks/>
        </xdr:cNvSpPr>
      </xdr:nvSpPr>
      <xdr:spPr>
        <a:xfrm>
          <a:off x="4276725" y="7410450"/>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37</xdr:row>
      <xdr:rowOff>76200</xdr:rowOff>
    </xdr:from>
    <xdr:to>
      <xdr:col>5</xdr:col>
      <xdr:colOff>104775</xdr:colOff>
      <xdr:row>38</xdr:row>
      <xdr:rowOff>9525</xdr:rowOff>
    </xdr:to>
    <xdr:sp>
      <xdr:nvSpPr>
        <xdr:cNvPr id="55" name="Oval 114"/>
        <xdr:cNvSpPr>
          <a:spLocks/>
        </xdr:cNvSpPr>
      </xdr:nvSpPr>
      <xdr:spPr>
        <a:xfrm>
          <a:off x="4448175" y="7515225"/>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36</xdr:row>
      <xdr:rowOff>142875</xdr:rowOff>
    </xdr:from>
    <xdr:to>
      <xdr:col>4</xdr:col>
      <xdr:colOff>600075</xdr:colOff>
      <xdr:row>37</xdr:row>
      <xdr:rowOff>9525</xdr:rowOff>
    </xdr:to>
    <xdr:sp>
      <xdr:nvSpPr>
        <xdr:cNvPr id="56" name="Oval 115"/>
        <xdr:cNvSpPr>
          <a:spLocks/>
        </xdr:cNvSpPr>
      </xdr:nvSpPr>
      <xdr:spPr>
        <a:xfrm>
          <a:off x="3952875" y="7334250"/>
          <a:ext cx="1143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36</xdr:row>
      <xdr:rowOff>200025</xdr:rowOff>
    </xdr:from>
    <xdr:to>
      <xdr:col>4</xdr:col>
      <xdr:colOff>666750</xdr:colOff>
      <xdr:row>37</xdr:row>
      <xdr:rowOff>66675</xdr:rowOff>
    </xdr:to>
    <xdr:sp>
      <xdr:nvSpPr>
        <xdr:cNvPr id="57" name="Oval 116"/>
        <xdr:cNvSpPr>
          <a:spLocks/>
        </xdr:cNvSpPr>
      </xdr:nvSpPr>
      <xdr:spPr>
        <a:xfrm>
          <a:off x="4048125" y="7391400"/>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942975</xdr:colOff>
      <xdr:row>38</xdr:row>
      <xdr:rowOff>19050</xdr:rowOff>
    </xdr:from>
    <xdr:to>
      <xdr:col>5</xdr:col>
      <xdr:colOff>142875</xdr:colOff>
      <xdr:row>38</xdr:row>
      <xdr:rowOff>152400</xdr:rowOff>
    </xdr:to>
    <xdr:sp>
      <xdr:nvSpPr>
        <xdr:cNvPr id="58" name="Oval 117"/>
        <xdr:cNvSpPr>
          <a:spLocks/>
        </xdr:cNvSpPr>
      </xdr:nvSpPr>
      <xdr:spPr>
        <a:xfrm>
          <a:off x="4410075" y="7648575"/>
          <a:ext cx="16192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37</xdr:row>
      <xdr:rowOff>28575</xdr:rowOff>
    </xdr:from>
    <xdr:to>
      <xdr:col>4</xdr:col>
      <xdr:colOff>752475</xdr:colOff>
      <xdr:row>37</xdr:row>
      <xdr:rowOff>123825</xdr:rowOff>
    </xdr:to>
    <xdr:sp>
      <xdr:nvSpPr>
        <xdr:cNvPr id="59" name="Oval 118"/>
        <xdr:cNvSpPr>
          <a:spLocks/>
        </xdr:cNvSpPr>
      </xdr:nvSpPr>
      <xdr:spPr>
        <a:xfrm>
          <a:off x="4124325" y="746760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38</xdr:row>
      <xdr:rowOff>28575</xdr:rowOff>
    </xdr:from>
    <xdr:to>
      <xdr:col>5</xdr:col>
      <xdr:colOff>247650</xdr:colOff>
      <xdr:row>38</xdr:row>
      <xdr:rowOff>104775</xdr:rowOff>
    </xdr:to>
    <xdr:sp>
      <xdr:nvSpPr>
        <xdr:cNvPr id="60" name="Oval 119"/>
        <xdr:cNvSpPr>
          <a:spLocks/>
        </xdr:cNvSpPr>
      </xdr:nvSpPr>
      <xdr:spPr>
        <a:xfrm>
          <a:off x="4562475" y="7658100"/>
          <a:ext cx="1143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876300</xdr:colOff>
      <xdr:row>38</xdr:row>
      <xdr:rowOff>9525</xdr:rowOff>
    </xdr:from>
    <xdr:to>
      <xdr:col>5</xdr:col>
      <xdr:colOff>19050</xdr:colOff>
      <xdr:row>38</xdr:row>
      <xdr:rowOff>95250</xdr:rowOff>
    </xdr:to>
    <xdr:sp>
      <xdr:nvSpPr>
        <xdr:cNvPr id="61" name="Oval 120"/>
        <xdr:cNvSpPr>
          <a:spLocks/>
        </xdr:cNvSpPr>
      </xdr:nvSpPr>
      <xdr:spPr>
        <a:xfrm>
          <a:off x="4343400" y="7639050"/>
          <a:ext cx="1047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38</xdr:row>
      <xdr:rowOff>95250</xdr:rowOff>
    </xdr:from>
    <xdr:to>
      <xdr:col>5</xdr:col>
      <xdr:colOff>266700</xdr:colOff>
      <xdr:row>39</xdr:row>
      <xdr:rowOff>76200</xdr:rowOff>
    </xdr:to>
    <xdr:sp>
      <xdr:nvSpPr>
        <xdr:cNvPr id="62" name="Oval 121"/>
        <xdr:cNvSpPr>
          <a:spLocks/>
        </xdr:cNvSpPr>
      </xdr:nvSpPr>
      <xdr:spPr>
        <a:xfrm>
          <a:off x="4552950" y="7724775"/>
          <a:ext cx="1428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34</xdr:row>
      <xdr:rowOff>9525</xdr:rowOff>
    </xdr:from>
    <xdr:to>
      <xdr:col>3</xdr:col>
      <xdr:colOff>123825</xdr:colOff>
      <xdr:row>34</xdr:row>
      <xdr:rowOff>95250</xdr:rowOff>
    </xdr:to>
    <xdr:sp>
      <xdr:nvSpPr>
        <xdr:cNvPr id="63" name="Oval 122"/>
        <xdr:cNvSpPr>
          <a:spLocks/>
        </xdr:cNvSpPr>
      </xdr:nvSpPr>
      <xdr:spPr>
        <a:xfrm>
          <a:off x="2514600" y="677227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34</xdr:row>
      <xdr:rowOff>76200</xdr:rowOff>
    </xdr:from>
    <xdr:to>
      <xdr:col>2</xdr:col>
      <xdr:colOff>590550</xdr:colOff>
      <xdr:row>35</xdr:row>
      <xdr:rowOff>0</xdr:rowOff>
    </xdr:to>
    <xdr:sp>
      <xdr:nvSpPr>
        <xdr:cNvPr id="64" name="Oval 123"/>
        <xdr:cNvSpPr>
          <a:spLocks/>
        </xdr:cNvSpPr>
      </xdr:nvSpPr>
      <xdr:spPr>
        <a:xfrm>
          <a:off x="2038350" y="6838950"/>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34</xdr:row>
      <xdr:rowOff>28575</xdr:rowOff>
    </xdr:from>
    <xdr:to>
      <xdr:col>3</xdr:col>
      <xdr:colOff>914400</xdr:colOff>
      <xdr:row>34</xdr:row>
      <xdr:rowOff>133350</xdr:rowOff>
    </xdr:to>
    <xdr:sp>
      <xdr:nvSpPr>
        <xdr:cNvPr id="65" name="Oval 124"/>
        <xdr:cNvSpPr>
          <a:spLocks/>
        </xdr:cNvSpPr>
      </xdr:nvSpPr>
      <xdr:spPr>
        <a:xfrm>
          <a:off x="3314700" y="67913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34</xdr:row>
      <xdr:rowOff>133350</xdr:rowOff>
    </xdr:from>
    <xdr:to>
      <xdr:col>4</xdr:col>
      <xdr:colOff>171450</xdr:colOff>
      <xdr:row>35</xdr:row>
      <xdr:rowOff>28575</xdr:rowOff>
    </xdr:to>
    <xdr:sp>
      <xdr:nvSpPr>
        <xdr:cNvPr id="66" name="Oval 125"/>
        <xdr:cNvSpPr>
          <a:spLocks/>
        </xdr:cNvSpPr>
      </xdr:nvSpPr>
      <xdr:spPr>
        <a:xfrm>
          <a:off x="3562350" y="689610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34</xdr:row>
      <xdr:rowOff>123825</xdr:rowOff>
    </xdr:from>
    <xdr:to>
      <xdr:col>3</xdr:col>
      <xdr:colOff>914400</xdr:colOff>
      <xdr:row>35</xdr:row>
      <xdr:rowOff>47625</xdr:rowOff>
    </xdr:to>
    <xdr:sp>
      <xdr:nvSpPr>
        <xdr:cNvPr id="67" name="Oval 126"/>
        <xdr:cNvSpPr>
          <a:spLocks/>
        </xdr:cNvSpPr>
      </xdr:nvSpPr>
      <xdr:spPr>
        <a:xfrm>
          <a:off x="3324225" y="6886575"/>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34</xdr:row>
      <xdr:rowOff>57150</xdr:rowOff>
    </xdr:from>
    <xdr:to>
      <xdr:col>4</xdr:col>
      <xdr:colOff>47625</xdr:colOff>
      <xdr:row>35</xdr:row>
      <xdr:rowOff>0</xdr:rowOff>
    </xdr:to>
    <xdr:sp>
      <xdr:nvSpPr>
        <xdr:cNvPr id="68" name="Oval 127"/>
        <xdr:cNvSpPr>
          <a:spLocks/>
        </xdr:cNvSpPr>
      </xdr:nvSpPr>
      <xdr:spPr>
        <a:xfrm>
          <a:off x="3409950" y="6819900"/>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34</xdr:row>
      <xdr:rowOff>104775</xdr:rowOff>
    </xdr:from>
    <xdr:to>
      <xdr:col>4</xdr:col>
      <xdr:colOff>114300</xdr:colOff>
      <xdr:row>35</xdr:row>
      <xdr:rowOff>47625</xdr:rowOff>
    </xdr:to>
    <xdr:sp>
      <xdr:nvSpPr>
        <xdr:cNvPr id="69" name="Oval 128"/>
        <xdr:cNvSpPr>
          <a:spLocks/>
        </xdr:cNvSpPr>
      </xdr:nvSpPr>
      <xdr:spPr>
        <a:xfrm>
          <a:off x="3505200" y="6867525"/>
          <a:ext cx="762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35</xdr:row>
      <xdr:rowOff>28575</xdr:rowOff>
    </xdr:from>
    <xdr:to>
      <xdr:col>4</xdr:col>
      <xdr:colOff>161925</xdr:colOff>
      <xdr:row>35</xdr:row>
      <xdr:rowOff>161925</xdr:rowOff>
    </xdr:to>
    <xdr:sp>
      <xdr:nvSpPr>
        <xdr:cNvPr id="70" name="Oval 129"/>
        <xdr:cNvSpPr>
          <a:spLocks/>
        </xdr:cNvSpPr>
      </xdr:nvSpPr>
      <xdr:spPr>
        <a:xfrm>
          <a:off x="3514725" y="6981825"/>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34</xdr:row>
      <xdr:rowOff>161925</xdr:rowOff>
    </xdr:from>
    <xdr:to>
      <xdr:col>4</xdr:col>
      <xdr:colOff>209550</xdr:colOff>
      <xdr:row>35</xdr:row>
      <xdr:rowOff>114300</xdr:rowOff>
    </xdr:to>
    <xdr:sp>
      <xdr:nvSpPr>
        <xdr:cNvPr id="71" name="Oval 130"/>
        <xdr:cNvSpPr>
          <a:spLocks/>
        </xdr:cNvSpPr>
      </xdr:nvSpPr>
      <xdr:spPr>
        <a:xfrm>
          <a:off x="3629025" y="6924675"/>
          <a:ext cx="476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35</xdr:row>
      <xdr:rowOff>104775</xdr:rowOff>
    </xdr:from>
    <xdr:to>
      <xdr:col>4</xdr:col>
      <xdr:colOff>238125</xdr:colOff>
      <xdr:row>35</xdr:row>
      <xdr:rowOff>219075</xdr:rowOff>
    </xdr:to>
    <xdr:sp>
      <xdr:nvSpPr>
        <xdr:cNvPr id="72" name="Oval 132"/>
        <xdr:cNvSpPr>
          <a:spLocks/>
        </xdr:cNvSpPr>
      </xdr:nvSpPr>
      <xdr:spPr>
        <a:xfrm>
          <a:off x="3600450" y="7058025"/>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35</xdr:row>
      <xdr:rowOff>9525</xdr:rowOff>
    </xdr:from>
    <xdr:to>
      <xdr:col>4</xdr:col>
      <xdr:colOff>304800</xdr:colOff>
      <xdr:row>35</xdr:row>
      <xdr:rowOff>95250</xdr:rowOff>
    </xdr:to>
    <xdr:sp>
      <xdr:nvSpPr>
        <xdr:cNvPr id="73" name="Oval 133"/>
        <xdr:cNvSpPr>
          <a:spLocks/>
        </xdr:cNvSpPr>
      </xdr:nvSpPr>
      <xdr:spPr>
        <a:xfrm>
          <a:off x="3657600" y="696277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35</xdr:row>
      <xdr:rowOff>171450</xdr:rowOff>
    </xdr:from>
    <xdr:to>
      <xdr:col>4</xdr:col>
      <xdr:colOff>333375</xdr:colOff>
      <xdr:row>36</xdr:row>
      <xdr:rowOff>57150</xdr:rowOff>
    </xdr:to>
    <xdr:sp>
      <xdr:nvSpPr>
        <xdr:cNvPr id="74" name="Oval 134"/>
        <xdr:cNvSpPr>
          <a:spLocks/>
        </xdr:cNvSpPr>
      </xdr:nvSpPr>
      <xdr:spPr>
        <a:xfrm>
          <a:off x="3676650" y="71247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35</xdr:row>
      <xdr:rowOff>85725</xdr:rowOff>
    </xdr:from>
    <xdr:to>
      <xdr:col>4</xdr:col>
      <xdr:colOff>295275</xdr:colOff>
      <xdr:row>35</xdr:row>
      <xdr:rowOff>161925</xdr:rowOff>
    </xdr:to>
    <xdr:sp>
      <xdr:nvSpPr>
        <xdr:cNvPr id="75" name="Oval 135"/>
        <xdr:cNvSpPr>
          <a:spLocks/>
        </xdr:cNvSpPr>
      </xdr:nvSpPr>
      <xdr:spPr>
        <a:xfrm>
          <a:off x="3686175" y="70389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35</xdr:row>
      <xdr:rowOff>76200</xdr:rowOff>
    </xdr:from>
    <xdr:to>
      <xdr:col>4</xdr:col>
      <xdr:colOff>371475</xdr:colOff>
      <xdr:row>35</xdr:row>
      <xdr:rowOff>152400</xdr:rowOff>
    </xdr:to>
    <xdr:sp>
      <xdr:nvSpPr>
        <xdr:cNvPr id="76" name="Oval 136"/>
        <xdr:cNvSpPr>
          <a:spLocks/>
        </xdr:cNvSpPr>
      </xdr:nvSpPr>
      <xdr:spPr>
        <a:xfrm>
          <a:off x="3762375" y="70294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35</xdr:row>
      <xdr:rowOff>142875</xdr:rowOff>
    </xdr:from>
    <xdr:to>
      <xdr:col>4</xdr:col>
      <xdr:colOff>371475</xdr:colOff>
      <xdr:row>35</xdr:row>
      <xdr:rowOff>219075</xdr:rowOff>
    </xdr:to>
    <xdr:sp>
      <xdr:nvSpPr>
        <xdr:cNvPr id="77" name="Oval 137"/>
        <xdr:cNvSpPr>
          <a:spLocks/>
        </xdr:cNvSpPr>
      </xdr:nvSpPr>
      <xdr:spPr>
        <a:xfrm>
          <a:off x="3762375" y="70961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36</xdr:row>
      <xdr:rowOff>19050</xdr:rowOff>
    </xdr:from>
    <xdr:to>
      <xdr:col>4</xdr:col>
      <xdr:colOff>371475</xdr:colOff>
      <xdr:row>36</xdr:row>
      <xdr:rowOff>95250</xdr:rowOff>
    </xdr:to>
    <xdr:sp>
      <xdr:nvSpPr>
        <xdr:cNvPr id="78" name="Oval 138"/>
        <xdr:cNvSpPr>
          <a:spLocks/>
        </xdr:cNvSpPr>
      </xdr:nvSpPr>
      <xdr:spPr>
        <a:xfrm>
          <a:off x="3762375" y="7210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35</xdr:row>
      <xdr:rowOff>123825</xdr:rowOff>
    </xdr:from>
    <xdr:to>
      <xdr:col>4</xdr:col>
      <xdr:colOff>438150</xdr:colOff>
      <xdr:row>35</xdr:row>
      <xdr:rowOff>219075</xdr:rowOff>
    </xdr:to>
    <xdr:sp>
      <xdr:nvSpPr>
        <xdr:cNvPr id="79" name="Oval 139"/>
        <xdr:cNvSpPr>
          <a:spLocks/>
        </xdr:cNvSpPr>
      </xdr:nvSpPr>
      <xdr:spPr>
        <a:xfrm>
          <a:off x="3829050" y="7077075"/>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35</xdr:row>
      <xdr:rowOff>209550</xdr:rowOff>
    </xdr:from>
    <xdr:to>
      <xdr:col>4</xdr:col>
      <xdr:colOff>419100</xdr:colOff>
      <xdr:row>36</xdr:row>
      <xdr:rowOff>47625</xdr:rowOff>
    </xdr:to>
    <xdr:sp>
      <xdr:nvSpPr>
        <xdr:cNvPr id="80" name="Oval 140"/>
        <xdr:cNvSpPr>
          <a:spLocks/>
        </xdr:cNvSpPr>
      </xdr:nvSpPr>
      <xdr:spPr>
        <a:xfrm>
          <a:off x="3810000" y="71628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39</xdr:row>
      <xdr:rowOff>28575</xdr:rowOff>
    </xdr:from>
    <xdr:to>
      <xdr:col>5</xdr:col>
      <xdr:colOff>419100</xdr:colOff>
      <xdr:row>39</xdr:row>
      <xdr:rowOff>152400</xdr:rowOff>
    </xdr:to>
    <xdr:sp>
      <xdr:nvSpPr>
        <xdr:cNvPr id="81" name="Oval 141"/>
        <xdr:cNvSpPr>
          <a:spLocks/>
        </xdr:cNvSpPr>
      </xdr:nvSpPr>
      <xdr:spPr>
        <a:xfrm>
          <a:off x="4638675" y="7848600"/>
          <a:ext cx="2095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37</xdr:row>
      <xdr:rowOff>142875</xdr:rowOff>
    </xdr:from>
    <xdr:to>
      <xdr:col>5</xdr:col>
      <xdr:colOff>180975</xdr:colOff>
      <xdr:row>38</xdr:row>
      <xdr:rowOff>38100</xdr:rowOff>
    </xdr:to>
    <xdr:sp>
      <xdr:nvSpPr>
        <xdr:cNvPr id="82" name="Oval 142"/>
        <xdr:cNvSpPr>
          <a:spLocks/>
        </xdr:cNvSpPr>
      </xdr:nvSpPr>
      <xdr:spPr>
        <a:xfrm>
          <a:off x="4533900" y="758190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38</xdr:row>
      <xdr:rowOff>76200</xdr:rowOff>
    </xdr:from>
    <xdr:to>
      <xdr:col>5</xdr:col>
      <xdr:colOff>314325</xdr:colOff>
      <xdr:row>38</xdr:row>
      <xdr:rowOff>152400</xdr:rowOff>
    </xdr:to>
    <xdr:sp>
      <xdr:nvSpPr>
        <xdr:cNvPr id="83" name="Oval 143"/>
        <xdr:cNvSpPr>
          <a:spLocks/>
        </xdr:cNvSpPr>
      </xdr:nvSpPr>
      <xdr:spPr>
        <a:xfrm>
          <a:off x="4667250" y="7705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38</xdr:row>
      <xdr:rowOff>123825</xdr:rowOff>
    </xdr:from>
    <xdr:to>
      <xdr:col>5</xdr:col>
      <xdr:colOff>390525</xdr:colOff>
      <xdr:row>39</xdr:row>
      <xdr:rowOff>28575</xdr:rowOff>
    </xdr:to>
    <xdr:sp>
      <xdr:nvSpPr>
        <xdr:cNvPr id="84" name="Oval 144"/>
        <xdr:cNvSpPr>
          <a:spLocks/>
        </xdr:cNvSpPr>
      </xdr:nvSpPr>
      <xdr:spPr>
        <a:xfrm>
          <a:off x="4724400" y="77533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39</xdr:row>
      <xdr:rowOff>133350</xdr:rowOff>
    </xdr:from>
    <xdr:to>
      <xdr:col>5</xdr:col>
      <xdr:colOff>409575</xdr:colOff>
      <xdr:row>40</xdr:row>
      <xdr:rowOff>28575</xdr:rowOff>
    </xdr:to>
    <xdr:sp>
      <xdr:nvSpPr>
        <xdr:cNvPr id="85" name="Oval 145"/>
        <xdr:cNvSpPr>
          <a:spLocks/>
        </xdr:cNvSpPr>
      </xdr:nvSpPr>
      <xdr:spPr>
        <a:xfrm>
          <a:off x="4762500" y="79533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39</xdr:row>
      <xdr:rowOff>0</xdr:rowOff>
    </xdr:from>
    <xdr:to>
      <xdr:col>5</xdr:col>
      <xdr:colOff>476250</xdr:colOff>
      <xdr:row>39</xdr:row>
      <xdr:rowOff>85725</xdr:rowOff>
    </xdr:to>
    <xdr:sp>
      <xdr:nvSpPr>
        <xdr:cNvPr id="86" name="Oval 146"/>
        <xdr:cNvSpPr>
          <a:spLocks/>
        </xdr:cNvSpPr>
      </xdr:nvSpPr>
      <xdr:spPr>
        <a:xfrm>
          <a:off x="4819650" y="782002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39</xdr:row>
      <xdr:rowOff>104775</xdr:rowOff>
    </xdr:from>
    <xdr:to>
      <xdr:col>5</xdr:col>
      <xdr:colOff>466725</xdr:colOff>
      <xdr:row>40</xdr:row>
      <xdr:rowOff>0</xdr:rowOff>
    </xdr:to>
    <xdr:sp>
      <xdr:nvSpPr>
        <xdr:cNvPr id="87" name="Oval 147"/>
        <xdr:cNvSpPr>
          <a:spLocks/>
        </xdr:cNvSpPr>
      </xdr:nvSpPr>
      <xdr:spPr>
        <a:xfrm>
          <a:off x="4819650" y="792480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39</xdr:row>
      <xdr:rowOff>57150</xdr:rowOff>
    </xdr:from>
    <xdr:to>
      <xdr:col>5</xdr:col>
      <xdr:colOff>542925</xdr:colOff>
      <xdr:row>39</xdr:row>
      <xdr:rowOff>133350</xdr:rowOff>
    </xdr:to>
    <xdr:sp>
      <xdr:nvSpPr>
        <xdr:cNvPr id="88" name="Oval 148"/>
        <xdr:cNvSpPr>
          <a:spLocks/>
        </xdr:cNvSpPr>
      </xdr:nvSpPr>
      <xdr:spPr>
        <a:xfrm>
          <a:off x="4876800" y="7877175"/>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40</xdr:row>
      <xdr:rowOff>0</xdr:rowOff>
    </xdr:from>
    <xdr:to>
      <xdr:col>5</xdr:col>
      <xdr:colOff>485775</xdr:colOff>
      <xdr:row>40</xdr:row>
      <xdr:rowOff>76200</xdr:rowOff>
    </xdr:to>
    <xdr:sp>
      <xdr:nvSpPr>
        <xdr:cNvPr id="89" name="Oval 149"/>
        <xdr:cNvSpPr>
          <a:spLocks/>
        </xdr:cNvSpPr>
      </xdr:nvSpPr>
      <xdr:spPr>
        <a:xfrm>
          <a:off x="4838700" y="80105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39</xdr:row>
      <xdr:rowOff>133350</xdr:rowOff>
    </xdr:from>
    <xdr:to>
      <xdr:col>5</xdr:col>
      <xdr:colOff>542925</xdr:colOff>
      <xdr:row>40</xdr:row>
      <xdr:rowOff>28575</xdr:rowOff>
    </xdr:to>
    <xdr:sp>
      <xdr:nvSpPr>
        <xdr:cNvPr id="90" name="Oval 150"/>
        <xdr:cNvSpPr>
          <a:spLocks/>
        </xdr:cNvSpPr>
      </xdr:nvSpPr>
      <xdr:spPr>
        <a:xfrm>
          <a:off x="4895850" y="79533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39</xdr:row>
      <xdr:rowOff>85725</xdr:rowOff>
    </xdr:from>
    <xdr:to>
      <xdr:col>5</xdr:col>
      <xdr:colOff>619125</xdr:colOff>
      <xdr:row>41</xdr:row>
      <xdr:rowOff>0</xdr:rowOff>
    </xdr:to>
    <xdr:sp>
      <xdr:nvSpPr>
        <xdr:cNvPr id="91" name="Oval 151"/>
        <xdr:cNvSpPr>
          <a:spLocks/>
        </xdr:cNvSpPr>
      </xdr:nvSpPr>
      <xdr:spPr>
        <a:xfrm>
          <a:off x="4972050" y="7905750"/>
          <a:ext cx="76200"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40</xdr:row>
      <xdr:rowOff>28575</xdr:rowOff>
    </xdr:from>
    <xdr:to>
      <xdr:col>5</xdr:col>
      <xdr:colOff>542925</xdr:colOff>
      <xdr:row>40</xdr:row>
      <xdr:rowOff>133350</xdr:rowOff>
    </xdr:to>
    <xdr:sp>
      <xdr:nvSpPr>
        <xdr:cNvPr id="92" name="Oval 152"/>
        <xdr:cNvSpPr>
          <a:spLocks/>
        </xdr:cNvSpPr>
      </xdr:nvSpPr>
      <xdr:spPr>
        <a:xfrm>
          <a:off x="4895850" y="8039100"/>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40</xdr:row>
      <xdr:rowOff>142875</xdr:rowOff>
    </xdr:from>
    <xdr:to>
      <xdr:col>5</xdr:col>
      <xdr:colOff>695325</xdr:colOff>
      <xdr:row>41</xdr:row>
      <xdr:rowOff>38100</xdr:rowOff>
    </xdr:to>
    <xdr:sp>
      <xdr:nvSpPr>
        <xdr:cNvPr id="93" name="Oval 153"/>
        <xdr:cNvSpPr>
          <a:spLocks/>
        </xdr:cNvSpPr>
      </xdr:nvSpPr>
      <xdr:spPr>
        <a:xfrm>
          <a:off x="5029200" y="815340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39</xdr:row>
      <xdr:rowOff>161925</xdr:rowOff>
    </xdr:from>
    <xdr:to>
      <xdr:col>5</xdr:col>
      <xdr:colOff>714375</xdr:colOff>
      <xdr:row>40</xdr:row>
      <xdr:rowOff>66675</xdr:rowOff>
    </xdr:to>
    <xdr:sp>
      <xdr:nvSpPr>
        <xdr:cNvPr id="94" name="Oval 154"/>
        <xdr:cNvSpPr>
          <a:spLocks/>
        </xdr:cNvSpPr>
      </xdr:nvSpPr>
      <xdr:spPr>
        <a:xfrm>
          <a:off x="5048250" y="79819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40</xdr:row>
      <xdr:rowOff>57150</xdr:rowOff>
    </xdr:from>
    <xdr:to>
      <xdr:col>5</xdr:col>
      <xdr:colOff>771525</xdr:colOff>
      <xdr:row>40</xdr:row>
      <xdr:rowOff>152400</xdr:rowOff>
    </xdr:to>
    <xdr:sp>
      <xdr:nvSpPr>
        <xdr:cNvPr id="95" name="Oval 155"/>
        <xdr:cNvSpPr>
          <a:spLocks/>
        </xdr:cNvSpPr>
      </xdr:nvSpPr>
      <xdr:spPr>
        <a:xfrm>
          <a:off x="5038725" y="8067675"/>
          <a:ext cx="1619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40</xdr:row>
      <xdr:rowOff>152400</xdr:rowOff>
    </xdr:from>
    <xdr:to>
      <xdr:col>5</xdr:col>
      <xdr:colOff>790575</xdr:colOff>
      <xdr:row>41</xdr:row>
      <xdr:rowOff>114300</xdr:rowOff>
    </xdr:to>
    <xdr:sp>
      <xdr:nvSpPr>
        <xdr:cNvPr id="96" name="Oval 156"/>
        <xdr:cNvSpPr>
          <a:spLocks/>
        </xdr:cNvSpPr>
      </xdr:nvSpPr>
      <xdr:spPr>
        <a:xfrm>
          <a:off x="5114925" y="816292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40</xdr:row>
      <xdr:rowOff>76200</xdr:rowOff>
    </xdr:from>
    <xdr:to>
      <xdr:col>5</xdr:col>
      <xdr:colOff>876300</xdr:colOff>
      <xdr:row>41</xdr:row>
      <xdr:rowOff>0</xdr:rowOff>
    </xdr:to>
    <xdr:sp>
      <xdr:nvSpPr>
        <xdr:cNvPr id="97" name="Oval 157"/>
        <xdr:cNvSpPr>
          <a:spLocks/>
        </xdr:cNvSpPr>
      </xdr:nvSpPr>
      <xdr:spPr>
        <a:xfrm>
          <a:off x="5181600" y="8086725"/>
          <a:ext cx="1238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41</xdr:row>
      <xdr:rowOff>0</xdr:rowOff>
    </xdr:from>
    <xdr:to>
      <xdr:col>5</xdr:col>
      <xdr:colOff>904875</xdr:colOff>
      <xdr:row>41</xdr:row>
      <xdr:rowOff>76200</xdr:rowOff>
    </xdr:to>
    <xdr:sp>
      <xdr:nvSpPr>
        <xdr:cNvPr id="98" name="Oval 158"/>
        <xdr:cNvSpPr>
          <a:spLocks/>
        </xdr:cNvSpPr>
      </xdr:nvSpPr>
      <xdr:spPr>
        <a:xfrm>
          <a:off x="5219700" y="8201025"/>
          <a:ext cx="1143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41</xdr:row>
      <xdr:rowOff>66675</xdr:rowOff>
    </xdr:from>
    <xdr:to>
      <xdr:col>5</xdr:col>
      <xdr:colOff>876300</xdr:colOff>
      <xdr:row>41</xdr:row>
      <xdr:rowOff>180975</xdr:rowOff>
    </xdr:to>
    <xdr:sp>
      <xdr:nvSpPr>
        <xdr:cNvPr id="99" name="Oval 159"/>
        <xdr:cNvSpPr>
          <a:spLocks/>
        </xdr:cNvSpPr>
      </xdr:nvSpPr>
      <xdr:spPr>
        <a:xfrm>
          <a:off x="5191125" y="8267700"/>
          <a:ext cx="1143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895350</xdr:colOff>
      <xdr:row>41</xdr:row>
      <xdr:rowOff>0</xdr:rowOff>
    </xdr:from>
    <xdr:to>
      <xdr:col>6</xdr:col>
      <xdr:colOff>28575</xdr:colOff>
      <xdr:row>41</xdr:row>
      <xdr:rowOff>85725</xdr:rowOff>
    </xdr:to>
    <xdr:sp>
      <xdr:nvSpPr>
        <xdr:cNvPr id="100" name="Oval 160"/>
        <xdr:cNvSpPr>
          <a:spLocks/>
        </xdr:cNvSpPr>
      </xdr:nvSpPr>
      <xdr:spPr>
        <a:xfrm>
          <a:off x="5324475" y="8201025"/>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857250</xdr:colOff>
      <xdr:row>41</xdr:row>
      <xdr:rowOff>76200</xdr:rowOff>
    </xdr:from>
    <xdr:to>
      <xdr:col>6</xdr:col>
      <xdr:colOff>47625</xdr:colOff>
      <xdr:row>42</xdr:row>
      <xdr:rowOff>0</xdr:rowOff>
    </xdr:to>
    <xdr:sp>
      <xdr:nvSpPr>
        <xdr:cNvPr id="101" name="Oval 161"/>
        <xdr:cNvSpPr>
          <a:spLocks/>
        </xdr:cNvSpPr>
      </xdr:nvSpPr>
      <xdr:spPr>
        <a:xfrm>
          <a:off x="5286375" y="8277225"/>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41</xdr:row>
      <xdr:rowOff>0</xdr:rowOff>
    </xdr:from>
    <xdr:to>
      <xdr:col>7</xdr:col>
      <xdr:colOff>28575</xdr:colOff>
      <xdr:row>41</xdr:row>
      <xdr:rowOff>95250</xdr:rowOff>
    </xdr:to>
    <xdr:sp>
      <xdr:nvSpPr>
        <xdr:cNvPr id="102" name="Oval 162"/>
        <xdr:cNvSpPr>
          <a:spLocks/>
        </xdr:cNvSpPr>
      </xdr:nvSpPr>
      <xdr:spPr>
        <a:xfrm>
          <a:off x="6267450" y="8201025"/>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41</xdr:row>
      <xdr:rowOff>85725</xdr:rowOff>
    </xdr:from>
    <xdr:to>
      <xdr:col>7</xdr:col>
      <xdr:colOff>76200</xdr:colOff>
      <xdr:row>42</xdr:row>
      <xdr:rowOff>0</xdr:rowOff>
    </xdr:to>
    <xdr:sp>
      <xdr:nvSpPr>
        <xdr:cNvPr id="103" name="Oval 163"/>
        <xdr:cNvSpPr>
          <a:spLocks/>
        </xdr:cNvSpPr>
      </xdr:nvSpPr>
      <xdr:spPr>
        <a:xfrm>
          <a:off x="6276975" y="8286750"/>
          <a:ext cx="1524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41</xdr:row>
      <xdr:rowOff>9525</xdr:rowOff>
    </xdr:from>
    <xdr:to>
      <xdr:col>7</xdr:col>
      <xdr:colOff>123825</xdr:colOff>
      <xdr:row>41</xdr:row>
      <xdr:rowOff>95250</xdr:rowOff>
    </xdr:to>
    <xdr:sp>
      <xdr:nvSpPr>
        <xdr:cNvPr id="104" name="Oval 164"/>
        <xdr:cNvSpPr>
          <a:spLocks/>
        </xdr:cNvSpPr>
      </xdr:nvSpPr>
      <xdr:spPr>
        <a:xfrm>
          <a:off x="6381750" y="821055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40</xdr:row>
      <xdr:rowOff>66675</xdr:rowOff>
    </xdr:from>
    <xdr:to>
      <xdr:col>7</xdr:col>
      <xdr:colOff>295275</xdr:colOff>
      <xdr:row>41</xdr:row>
      <xdr:rowOff>9525</xdr:rowOff>
    </xdr:to>
    <xdr:sp>
      <xdr:nvSpPr>
        <xdr:cNvPr id="105" name="Oval 165"/>
        <xdr:cNvSpPr>
          <a:spLocks/>
        </xdr:cNvSpPr>
      </xdr:nvSpPr>
      <xdr:spPr>
        <a:xfrm>
          <a:off x="6534150" y="8077200"/>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41</xdr:row>
      <xdr:rowOff>19050</xdr:rowOff>
    </xdr:from>
    <xdr:to>
      <xdr:col>7</xdr:col>
      <xdr:colOff>219075</xdr:colOff>
      <xdr:row>41</xdr:row>
      <xdr:rowOff>142875</xdr:rowOff>
    </xdr:to>
    <xdr:sp>
      <xdr:nvSpPr>
        <xdr:cNvPr id="106" name="Oval 166"/>
        <xdr:cNvSpPr>
          <a:spLocks/>
        </xdr:cNvSpPr>
      </xdr:nvSpPr>
      <xdr:spPr>
        <a:xfrm>
          <a:off x="6457950" y="8220075"/>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41</xdr:row>
      <xdr:rowOff>0</xdr:rowOff>
    </xdr:from>
    <xdr:to>
      <xdr:col>6</xdr:col>
      <xdr:colOff>104775</xdr:colOff>
      <xdr:row>41</xdr:row>
      <xdr:rowOff>104775</xdr:rowOff>
    </xdr:to>
    <xdr:sp>
      <xdr:nvSpPr>
        <xdr:cNvPr id="107" name="Oval 167"/>
        <xdr:cNvSpPr>
          <a:spLocks/>
        </xdr:cNvSpPr>
      </xdr:nvSpPr>
      <xdr:spPr>
        <a:xfrm>
          <a:off x="5410200" y="8201025"/>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714375</xdr:colOff>
      <xdr:row>51</xdr:row>
      <xdr:rowOff>114300</xdr:rowOff>
    </xdr:from>
    <xdr:to>
      <xdr:col>2</xdr:col>
      <xdr:colOff>85725</xdr:colOff>
      <xdr:row>51</xdr:row>
      <xdr:rowOff>114300</xdr:rowOff>
    </xdr:to>
    <xdr:sp>
      <xdr:nvSpPr>
        <xdr:cNvPr id="108" name="Line 168"/>
        <xdr:cNvSpPr>
          <a:spLocks/>
        </xdr:cNvSpPr>
      </xdr:nvSpPr>
      <xdr:spPr>
        <a:xfrm>
          <a:off x="1295400" y="10477500"/>
          <a:ext cx="333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50</xdr:row>
      <xdr:rowOff>114300</xdr:rowOff>
    </xdr:from>
    <xdr:to>
      <xdr:col>2</xdr:col>
      <xdr:colOff>76200</xdr:colOff>
      <xdr:row>50</xdr:row>
      <xdr:rowOff>114300</xdr:rowOff>
    </xdr:to>
    <xdr:sp>
      <xdr:nvSpPr>
        <xdr:cNvPr id="109" name="Line 170"/>
        <xdr:cNvSpPr>
          <a:spLocks/>
        </xdr:cNvSpPr>
      </xdr:nvSpPr>
      <xdr:spPr>
        <a:xfrm>
          <a:off x="1181100" y="10229850"/>
          <a:ext cx="438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49</xdr:row>
      <xdr:rowOff>123825</xdr:rowOff>
    </xdr:from>
    <xdr:to>
      <xdr:col>2</xdr:col>
      <xdr:colOff>57150</xdr:colOff>
      <xdr:row>50</xdr:row>
      <xdr:rowOff>114300</xdr:rowOff>
    </xdr:to>
    <xdr:sp>
      <xdr:nvSpPr>
        <xdr:cNvPr id="110" name="Line 171"/>
        <xdr:cNvSpPr>
          <a:spLocks/>
        </xdr:cNvSpPr>
      </xdr:nvSpPr>
      <xdr:spPr>
        <a:xfrm flipV="1">
          <a:off x="1600200" y="9991725"/>
          <a:ext cx="0" cy="2381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51</xdr:row>
      <xdr:rowOff>114300</xdr:rowOff>
    </xdr:from>
    <xdr:to>
      <xdr:col>2</xdr:col>
      <xdr:colOff>66675</xdr:colOff>
      <xdr:row>54</xdr:row>
      <xdr:rowOff>0</xdr:rowOff>
    </xdr:to>
    <xdr:sp>
      <xdr:nvSpPr>
        <xdr:cNvPr id="111" name="Line 172"/>
        <xdr:cNvSpPr>
          <a:spLocks/>
        </xdr:cNvSpPr>
      </xdr:nvSpPr>
      <xdr:spPr>
        <a:xfrm>
          <a:off x="1609725" y="10477500"/>
          <a:ext cx="0" cy="57150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49</xdr:row>
      <xdr:rowOff>123825</xdr:rowOff>
    </xdr:from>
    <xdr:to>
      <xdr:col>2</xdr:col>
      <xdr:colOff>152400</xdr:colOff>
      <xdr:row>49</xdr:row>
      <xdr:rowOff>123825</xdr:rowOff>
    </xdr:to>
    <xdr:sp>
      <xdr:nvSpPr>
        <xdr:cNvPr id="112" name="Line 173"/>
        <xdr:cNvSpPr>
          <a:spLocks/>
        </xdr:cNvSpPr>
      </xdr:nvSpPr>
      <xdr:spPr>
        <a:xfrm>
          <a:off x="1600200" y="9991725"/>
          <a:ext cx="95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55</xdr:row>
      <xdr:rowOff>57150</xdr:rowOff>
    </xdr:from>
    <xdr:to>
      <xdr:col>1</xdr:col>
      <xdr:colOff>952500</xdr:colOff>
      <xdr:row>56</xdr:row>
      <xdr:rowOff>38100</xdr:rowOff>
    </xdr:to>
    <xdr:sp>
      <xdr:nvSpPr>
        <xdr:cNvPr id="113" name="Line 174"/>
        <xdr:cNvSpPr>
          <a:spLocks/>
        </xdr:cNvSpPr>
      </xdr:nvSpPr>
      <xdr:spPr>
        <a:xfrm>
          <a:off x="1533525" y="11296650"/>
          <a:ext cx="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55</xdr:row>
      <xdr:rowOff>38100</xdr:rowOff>
    </xdr:from>
    <xdr:to>
      <xdr:col>3</xdr:col>
      <xdr:colOff>9525</xdr:colOff>
      <xdr:row>56</xdr:row>
      <xdr:rowOff>47625</xdr:rowOff>
    </xdr:to>
    <xdr:sp>
      <xdr:nvSpPr>
        <xdr:cNvPr id="114" name="Line 175"/>
        <xdr:cNvSpPr>
          <a:spLocks/>
        </xdr:cNvSpPr>
      </xdr:nvSpPr>
      <xdr:spPr>
        <a:xfrm>
          <a:off x="2514600" y="11277600"/>
          <a:ext cx="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3</xdr:col>
      <xdr:colOff>9525</xdr:colOff>
      <xdr:row>56</xdr:row>
      <xdr:rowOff>0</xdr:rowOff>
    </xdr:to>
    <xdr:sp>
      <xdr:nvSpPr>
        <xdr:cNvPr id="115" name="Line 176"/>
        <xdr:cNvSpPr>
          <a:spLocks/>
        </xdr:cNvSpPr>
      </xdr:nvSpPr>
      <xdr:spPr>
        <a:xfrm>
          <a:off x="1543050" y="11487150"/>
          <a:ext cx="9715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29</xdr:row>
      <xdr:rowOff>76200</xdr:rowOff>
    </xdr:from>
    <xdr:to>
      <xdr:col>0</xdr:col>
      <xdr:colOff>581025</xdr:colOff>
      <xdr:row>29</xdr:row>
      <xdr:rowOff>76200</xdr:rowOff>
    </xdr:to>
    <xdr:sp>
      <xdr:nvSpPr>
        <xdr:cNvPr id="116" name="Line 177"/>
        <xdr:cNvSpPr>
          <a:spLocks/>
        </xdr:cNvSpPr>
      </xdr:nvSpPr>
      <xdr:spPr>
        <a:xfrm flipH="1">
          <a:off x="495300" y="56483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33</xdr:row>
      <xdr:rowOff>85725</xdr:rowOff>
    </xdr:from>
    <xdr:to>
      <xdr:col>0</xdr:col>
      <xdr:colOff>581025</xdr:colOff>
      <xdr:row>33</xdr:row>
      <xdr:rowOff>85725</xdr:rowOff>
    </xdr:to>
    <xdr:sp>
      <xdr:nvSpPr>
        <xdr:cNvPr id="117" name="Line 178"/>
        <xdr:cNvSpPr>
          <a:spLocks/>
        </xdr:cNvSpPr>
      </xdr:nvSpPr>
      <xdr:spPr>
        <a:xfrm flipH="1">
          <a:off x="495300" y="66103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29</xdr:row>
      <xdr:rowOff>76200</xdr:rowOff>
    </xdr:from>
    <xdr:to>
      <xdr:col>0</xdr:col>
      <xdr:colOff>523875</xdr:colOff>
      <xdr:row>33</xdr:row>
      <xdr:rowOff>85725</xdr:rowOff>
    </xdr:to>
    <xdr:sp>
      <xdr:nvSpPr>
        <xdr:cNvPr id="118" name="Line 179"/>
        <xdr:cNvSpPr>
          <a:spLocks/>
        </xdr:cNvSpPr>
      </xdr:nvSpPr>
      <xdr:spPr>
        <a:xfrm>
          <a:off x="523875" y="5648325"/>
          <a:ext cx="0" cy="962025"/>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51</xdr:row>
      <xdr:rowOff>180975</xdr:rowOff>
    </xdr:from>
    <xdr:to>
      <xdr:col>1</xdr:col>
      <xdr:colOff>733425</xdr:colOff>
      <xdr:row>52</xdr:row>
      <xdr:rowOff>57150</xdr:rowOff>
    </xdr:to>
    <xdr:sp>
      <xdr:nvSpPr>
        <xdr:cNvPr id="119" name="Oval 180"/>
        <xdr:cNvSpPr>
          <a:spLocks/>
        </xdr:cNvSpPr>
      </xdr:nvSpPr>
      <xdr:spPr>
        <a:xfrm>
          <a:off x="1181100" y="10544175"/>
          <a:ext cx="13335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52</xdr:row>
      <xdr:rowOff>57150</xdr:rowOff>
    </xdr:from>
    <xdr:to>
      <xdr:col>1</xdr:col>
      <xdr:colOff>704850</xdr:colOff>
      <xdr:row>52</xdr:row>
      <xdr:rowOff>190500</xdr:rowOff>
    </xdr:to>
    <xdr:sp>
      <xdr:nvSpPr>
        <xdr:cNvPr id="120" name="Oval 181"/>
        <xdr:cNvSpPr>
          <a:spLocks/>
        </xdr:cNvSpPr>
      </xdr:nvSpPr>
      <xdr:spPr>
        <a:xfrm>
          <a:off x="1181100" y="10610850"/>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51</xdr:row>
      <xdr:rowOff>104775</xdr:rowOff>
    </xdr:from>
    <xdr:to>
      <xdr:col>1</xdr:col>
      <xdr:colOff>600075</xdr:colOff>
      <xdr:row>52</xdr:row>
      <xdr:rowOff>19050</xdr:rowOff>
    </xdr:to>
    <xdr:sp>
      <xdr:nvSpPr>
        <xdr:cNvPr id="121" name="Oval 182"/>
        <xdr:cNvSpPr>
          <a:spLocks/>
        </xdr:cNvSpPr>
      </xdr:nvSpPr>
      <xdr:spPr>
        <a:xfrm>
          <a:off x="1095375" y="10467975"/>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52</xdr:row>
      <xdr:rowOff>57150</xdr:rowOff>
    </xdr:from>
    <xdr:to>
      <xdr:col>1</xdr:col>
      <xdr:colOff>771525</xdr:colOff>
      <xdr:row>52</xdr:row>
      <xdr:rowOff>133350</xdr:rowOff>
    </xdr:to>
    <xdr:sp>
      <xdr:nvSpPr>
        <xdr:cNvPr id="122" name="Oval 183"/>
        <xdr:cNvSpPr>
          <a:spLocks/>
        </xdr:cNvSpPr>
      </xdr:nvSpPr>
      <xdr:spPr>
        <a:xfrm>
          <a:off x="1276350" y="106108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52</xdr:row>
      <xdr:rowOff>142875</xdr:rowOff>
    </xdr:from>
    <xdr:to>
      <xdr:col>1</xdr:col>
      <xdr:colOff>742950</xdr:colOff>
      <xdr:row>53</xdr:row>
      <xdr:rowOff>47625</xdr:rowOff>
    </xdr:to>
    <xdr:sp>
      <xdr:nvSpPr>
        <xdr:cNvPr id="123" name="Oval 184"/>
        <xdr:cNvSpPr>
          <a:spLocks/>
        </xdr:cNvSpPr>
      </xdr:nvSpPr>
      <xdr:spPr>
        <a:xfrm>
          <a:off x="1247775" y="10696575"/>
          <a:ext cx="762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52</xdr:row>
      <xdr:rowOff>133350</xdr:rowOff>
    </xdr:from>
    <xdr:to>
      <xdr:col>1</xdr:col>
      <xdr:colOff>809625</xdr:colOff>
      <xdr:row>53</xdr:row>
      <xdr:rowOff>28575</xdr:rowOff>
    </xdr:to>
    <xdr:sp>
      <xdr:nvSpPr>
        <xdr:cNvPr id="124" name="Oval 185"/>
        <xdr:cNvSpPr>
          <a:spLocks/>
        </xdr:cNvSpPr>
      </xdr:nvSpPr>
      <xdr:spPr>
        <a:xfrm>
          <a:off x="1314450" y="10687050"/>
          <a:ext cx="762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53</xdr:row>
      <xdr:rowOff>38100</xdr:rowOff>
    </xdr:from>
    <xdr:to>
      <xdr:col>1</xdr:col>
      <xdr:colOff>800100</xdr:colOff>
      <xdr:row>53</xdr:row>
      <xdr:rowOff>142875</xdr:rowOff>
    </xdr:to>
    <xdr:sp>
      <xdr:nvSpPr>
        <xdr:cNvPr id="125" name="Oval 186"/>
        <xdr:cNvSpPr>
          <a:spLocks/>
        </xdr:cNvSpPr>
      </xdr:nvSpPr>
      <xdr:spPr>
        <a:xfrm>
          <a:off x="1276350" y="10839450"/>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53</xdr:row>
      <xdr:rowOff>9525</xdr:rowOff>
    </xdr:from>
    <xdr:to>
      <xdr:col>1</xdr:col>
      <xdr:colOff>866775</xdr:colOff>
      <xdr:row>53</xdr:row>
      <xdr:rowOff>95250</xdr:rowOff>
    </xdr:to>
    <xdr:sp>
      <xdr:nvSpPr>
        <xdr:cNvPr id="126" name="Oval 187"/>
        <xdr:cNvSpPr>
          <a:spLocks/>
        </xdr:cNvSpPr>
      </xdr:nvSpPr>
      <xdr:spPr>
        <a:xfrm>
          <a:off x="1362075" y="1081087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53</xdr:row>
      <xdr:rowOff>114300</xdr:rowOff>
    </xdr:from>
    <xdr:to>
      <xdr:col>1</xdr:col>
      <xdr:colOff>857250</xdr:colOff>
      <xdr:row>54</xdr:row>
      <xdr:rowOff>19050</xdr:rowOff>
    </xdr:to>
    <xdr:sp>
      <xdr:nvSpPr>
        <xdr:cNvPr id="127" name="Oval 188"/>
        <xdr:cNvSpPr>
          <a:spLocks/>
        </xdr:cNvSpPr>
      </xdr:nvSpPr>
      <xdr:spPr>
        <a:xfrm>
          <a:off x="1352550" y="10915650"/>
          <a:ext cx="8572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838200</xdr:colOff>
      <xdr:row>53</xdr:row>
      <xdr:rowOff>85725</xdr:rowOff>
    </xdr:from>
    <xdr:to>
      <xdr:col>1</xdr:col>
      <xdr:colOff>914400</xdr:colOff>
      <xdr:row>53</xdr:row>
      <xdr:rowOff>161925</xdr:rowOff>
    </xdr:to>
    <xdr:sp>
      <xdr:nvSpPr>
        <xdr:cNvPr id="128" name="Oval 189"/>
        <xdr:cNvSpPr>
          <a:spLocks/>
        </xdr:cNvSpPr>
      </xdr:nvSpPr>
      <xdr:spPr>
        <a:xfrm>
          <a:off x="1419225" y="108870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9525</xdr:rowOff>
    </xdr:from>
    <xdr:to>
      <xdr:col>1</xdr:col>
      <xdr:colOff>914400</xdr:colOff>
      <xdr:row>54</xdr:row>
      <xdr:rowOff>114300</xdr:rowOff>
    </xdr:to>
    <xdr:sp>
      <xdr:nvSpPr>
        <xdr:cNvPr id="129" name="Oval 190"/>
        <xdr:cNvSpPr>
          <a:spLocks/>
        </xdr:cNvSpPr>
      </xdr:nvSpPr>
      <xdr:spPr>
        <a:xfrm>
          <a:off x="1409700" y="11058525"/>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53</xdr:row>
      <xdr:rowOff>171450</xdr:rowOff>
    </xdr:from>
    <xdr:to>
      <xdr:col>1</xdr:col>
      <xdr:colOff>942975</xdr:colOff>
      <xdr:row>54</xdr:row>
      <xdr:rowOff>47625</xdr:rowOff>
    </xdr:to>
    <xdr:sp>
      <xdr:nvSpPr>
        <xdr:cNvPr id="130" name="Oval 191"/>
        <xdr:cNvSpPr>
          <a:spLocks/>
        </xdr:cNvSpPr>
      </xdr:nvSpPr>
      <xdr:spPr>
        <a:xfrm>
          <a:off x="1428750" y="10972800"/>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54</xdr:row>
      <xdr:rowOff>66675</xdr:rowOff>
    </xdr:from>
    <xdr:to>
      <xdr:col>2</xdr:col>
      <xdr:colOff>9525</xdr:colOff>
      <xdr:row>55</xdr:row>
      <xdr:rowOff>0</xdr:rowOff>
    </xdr:to>
    <xdr:sp>
      <xdr:nvSpPr>
        <xdr:cNvPr id="131" name="Oval 192"/>
        <xdr:cNvSpPr>
          <a:spLocks/>
        </xdr:cNvSpPr>
      </xdr:nvSpPr>
      <xdr:spPr>
        <a:xfrm>
          <a:off x="1457325" y="11115675"/>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933450</xdr:colOff>
      <xdr:row>54</xdr:row>
      <xdr:rowOff>0</xdr:rowOff>
    </xdr:from>
    <xdr:to>
      <xdr:col>2</xdr:col>
      <xdr:colOff>104775</xdr:colOff>
      <xdr:row>54</xdr:row>
      <xdr:rowOff>95250</xdr:rowOff>
    </xdr:to>
    <xdr:sp>
      <xdr:nvSpPr>
        <xdr:cNvPr id="132" name="Oval 193"/>
        <xdr:cNvSpPr>
          <a:spLocks/>
        </xdr:cNvSpPr>
      </xdr:nvSpPr>
      <xdr:spPr>
        <a:xfrm>
          <a:off x="1514475" y="11049000"/>
          <a:ext cx="1333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54</xdr:row>
      <xdr:rowOff>85725</xdr:rowOff>
    </xdr:from>
    <xdr:to>
      <xdr:col>2</xdr:col>
      <xdr:colOff>95250</xdr:colOff>
      <xdr:row>54</xdr:row>
      <xdr:rowOff>180975</xdr:rowOff>
    </xdr:to>
    <xdr:sp>
      <xdr:nvSpPr>
        <xdr:cNvPr id="133" name="Oval 194"/>
        <xdr:cNvSpPr>
          <a:spLocks/>
        </xdr:cNvSpPr>
      </xdr:nvSpPr>
      <xdr:spPr>
        <a:xfrm>
          <a:off x="1533525" y="1113472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54</xdr:row>
      <xdr:rowOff>95250</xdr:rowOff>
    </xdr:from>
    <xdr:to>
      <xdr:col>2</xdr:col>
      <xdr:colOff>219075</xdr:colOff>
      <xdr:row>54</xdr:row>
      <xdr:rowOff>180975</xdr:rowOff>
    </xdr:to>
    <xdr:sp>
      <xdr:nvSpPr>
        <xdr:cNvPr id="134" name="Oval 195"/>
        <xdr:cNvSpPr>
          <a:spLocks/>
        </xdr:cNvSpPr>
      </xdr:nvSpPr>
      <xdr:spPr>
        <a:xfrm>
          <a:off x="1628775" y="11144250"/>
          <a:ext cx="1333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54</xdr:row>
      <xdr:rowOff>0</xdr:rowOff>
    </xdr:from>
    <xdr:to>
      <xdr:col>2</xdr:col>
      <xdr:colOff>219075</xdr:colOff>
      <xdr:row>54</xdr:row>
      <xdr:rowOff>95250</xdr:rowOff>
    </xdr:to>
    <xdr:sp>
      <xdr:nvSpPr>
        <xdr:cNvPr id="135" name="Oval 196"/>
        <xdr:cNvSpPr>
          <a:spLocks/>
        </xdr:cNvSpPr>
      </xdr:nvSpPr>
      <xdr:spPr>
        <a:xfrm>
          <a:off x="1628775" y="11049000"/>
          <a:ext cx="1333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54</xdr:row>
      <xdr:rowOff>0</xdr:rowOff>
    </xdr:from>
    <xdr:to>
      <xdr:col>2</xdr:col>
      <xdr:colOff>314325</xdr:colOff>
      <xdr:row>54</xdr:row>
      <xdr:rowOff>95250</xdr:rowOff>
    </xdr:to>
    <xdr:sp>
      <xdr:nvSpPr>
        <xdr:cNvPr id="136" name="Oval 197"/>
        <xdr:cNvSpPr>
          <a:spLocks/>
        </xdr:cNvSpPr>
      </xdr:nvSpPr>
      <xdr:spPr>
        <a:xfrm>
          <a:off x="1752600" y="11049000"/>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54</xdr:row>
      <xdr:rowOff>85725</xdr:rowOff>
    </xdr:from>
    <xdr:to>
      <xdr:col>2</xdr:col>
      <xdr:colOff>371475</xdr:colOff>
      <xdr:row>55</xdr:row>
      <xdr:rowOff>0</xdr:rowOff>
    </xdr:to>
    <xdr:sp>
      <xdr:nvSpPr>
        <xdr:cNvPr id="137" name="Oval 198"/>
        <xdr:cNvSpPr>
          <a:spLocks/>
        </xdr:cNvSpPr>
      </xdr:nvSpPr>
      <xdr:spPr>
        <a:xfrm>
          <a:off x="1762125" y="11134725"/>
          <a:ext cx="1524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54</xdr:row>
      <xdr:rowOff>0</xdr:rowOff>
    </xdr:from>
    <xdr:to>
      <xdr:col>2</xdr:col>
      <xdr:colOff>400050</xdr:colOff>
      <xdr:row>54</xdr:row>
      <xdr:rowOff>95250</xdr:rowOff>
    </xdr:to>
    <xdr:sp>
      <xdr:nvSpPr>
        <xdr:cNvPr id="138" name="Oval 199"/>
        <xdr:cNvSpPr>
          <a:spLocks/>
        </xdr:cNvSpPr>
      </xdr:nvSpPr>
      <xdr:spPr>
        <a:xfrm>
          <a:off x="1866900" y="11049000"/>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54</xdr:row>
      <xdr:rowOff>66675</xdr:rowOff>
    </xdr:from>
    <xdr:to>
      <xdr:col>2</xdr:col>
      <xdr:colOff>514350</xdr:colOff>
      <xdr:row>55</xdr:row>
      <xdr:rowOff>0</xdr:rowOff>
    </xdr:to>
    <xdr:sp>
      <xdr:nvSpPr>
        <xdr:cNvPr id="139" name="Oval 200"/>
        <xdr:cNvSpPr>
          <a:spLocks/>
        </xdr:cNvSpPr>
      </xdr:nvSpPr>
      <xdr:spPr>
        <a:xfrm>
          <a:off x="1905000" y="11115675"/>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54</xdr:row>
      <xdr:rowOff>0</xdr:rowOff>
    </xdr:from>
    <xdr:to>
      <xdr:col>2</xdr:col>
      <xdr:colOff>514350</xdr:colOff>
      <xdr:row>54</xdr:row>
      <xdr:rowOff>66675</xdr:rowOff>
    </xdr:to>
    <xdr:sp>
      <xdr:nvSpPr>
        <xdr:cNvPr id="140" name="Oval 201"/>
        <xdr:cNvSpPr>
          <a:spLocks/>
        </xdr:cNvSpPr>
      </xdr:nvSpPr>
      <xdr:spPr>
        <a:xfrm>
          <a:off x="1952625" y="11049000"/>
          <a:ext cx="104775"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54</xdr:row>
      <xdr:rowOff>9525</xdr:rowOff>
    </xdr:from>
    <xdr:to>
      <xdr:col>2</xdr:col>
      <xdr:colOff>609600</xdr:colOff>
      <xdr:row>55</xdr:row>
      <xdr:rowOff>0</xdr:rowOff>
    </xdr:to>
    <xdr:sp>
      <xdr:nvSpPr>
        <xdr:cNvPr id="141" name="Oval 202"/>
        <xdr:cNvSpPr>
          <a:spLocks/>
        </xdr:cNvSpPr>
      </xdr:nvSpPr>
      <xdr:spPr>
        <a:xfrm>
          <a:off x="2047875" y="11058525"/>
          <a:ext cx="1047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53</xdr:row>
      <xdr:rowOff>152400</xdr:rowOff>
    </xdr:from>
    <xdr:to>
      <xdr:col>3</xdr:col>
      <xdr:colOff>114300</xdr:colOff>
      <xdr:row>54</xdr:row>
      <xdr:rowOff>95250</xdr:rowOff>
    </xdr:to>
    <xdr:sp>
      <xdr:nvSpPr>
        <xdr:cNvPr id="142" name="Oval 204"/>
        <xdr:cNvSpPr>
          <a:spLocks/>
        </xdr:cNvSpPr>
      </xdr:nvSpPr>
      <xdr:spPr>
        <a:xfrm>
          <a:off x="2524125" y="10953750"/>
          <a:ext cx="9525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54</xdr:row>
      <xdr:rowOff>104775</xdr:rowOff>
    </xdr:from>
    <xdr:to>
      <xdr:col>2</xdr:col>
      <xdr:colOff>676275</xdr:colOff>
      <xdr:row>55</xdr:row>
      <xdr:rowOff>0</xdr:rowOff>
    </xdr:to>
    <xdr:sp>
      <xdr:nvSpPr>
        <xdr:cNvPr id="143" name="Oval 205"/>
        <xdr:cNvSpPr>
          <a:spLocks/>
        </xdr:cNvSpPr>
      </xdr:nvSpPr>
      <xdr:spPr>
        <a:xfrm>
          <a:off x="2143125" y="111537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54</xdr:row>
      <xdr:rowOff>0</xdr:rowOff>
    </xdr:from>
    <xdr:to>
      <xdr:col>2</xdr:col>
      <xdr:colOff>695325</xdr:colOff>
      <xdr:row>54</xdr:row>
      <xdr:rowOff>85725</xdr:rowOff>
    </xdr:to>
    <xdr:sp>
      <xdr:nvSpPr>
        <xdr:cNvPr id="144" name="Oval 206"/>
        <xdr:cNvSpPr>
          <a:spLocks/>
        </xdr:cNvSpPr>
      </xdr:nvSpPr>
      <xdr:spPr>
        <a:xfrm>
          <a:off x="2143125" y="1104900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54</xdr:row>
      <xdr:rowOff>66675</xdr:rowOff>
    </xdr:from>
    <xdr:to>
      <xdr:col>2</xdr:col>
      <xdr:colOff>800100</xdr:colOff>
      <xdr:row>54</xdr:row>
      <xdr:rowOff>180975</xdr:rowOff>
    </xdr:to>
    <xdr:sp>
      <xdr:nvSpPr>
        <xdr:cNvPr id="145" name="Oval 207"/>
        <xdr:cNvSpPr>
          <a:spLocks/>
        </xdr:cNvSpPr>
      </xdr:nvSpPr>
      <xdr:spPr>
        <a:xfrm>
          <a:off x="2181225" y="11115675"/>
          <a:ext cx="1619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771525</xdr:colOff>
      <xdr:row>53</xdr:row>
      <xdr:rowOff>238125</xdr:rowOff>
    </xdr:from>
    <xdr:to>
      <xdr:col>2</xdr:col>
      <xdr:colOff>857250</xdr:colOff>
      <xdr:row>54</xdr:row>
      <xdr:rowOff>114300</xdr:rowOff>
    </xdr:to>
    <xdr:sp>
      <xdr:nvSpPr>
        <xdr:cNvPr id="146" name="Oval 208"/>
        <xdr:cNvSpPr>
          <a:spLocks/>
        </xdr:cNvSpPr>
      </xdr:nvSpPr>
      <xdr:spPr>
        <a:xfrm>
          <a:off x="2314575" y="11039475"/>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54</xdr:row>
      <xdr:rowOff>104775</xdr:rowOff>
    </xdr:from>
    <xdr:to>
      <xdr:col>2</xdr:col>
      <xdr:colOff>933450</xdr:colOff>
      <xdr:row>55</xdr:row>
      <xdr:rowOff>0</xdr:rowOff>
    </xdr:to>
    <xdr:sp>
      <xdr:nvSpPr>
        <xdr:cNvPr id="147" name="Oval 209"/>
        <xdr:cNvSpPr>
          <a:spLocks/>
        </xdr:cNvSpPr>
      </xdr:nvSpPr>
      <xdr:spPr>
        <a:xfrm>
          <a:off x="2333625" y="11153775"/>
          <a:ext cx="1428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54</xdr:row>
      <xdr:rowOff>0</xdr:rowOff>
    </xdr:from>
    <xdr:to>
      <xdr:col>2</xdr:col>
      <xdr:colOff>781050</xdr:colOff>
      <xdr:row>54</xdr:row>
      <xdr:rowOff>76200</xdr:rowOff>
    </xdr:to>
    <xdr:sp>
      <xdr:nvSpPr>
        <xdr:cNvPr id="148" name="Oval 210"/>
        <xdr:cNvSpPr>
          <a:spLocks/>
        </xdr:cNvSpPr>
      </xdr:nvSpPr>
      <xdr:spPr>
        <a:xfrm>
          <a:off x="2247900" y="110490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847725</xdr:colOff>
      <xdr:row>54</xdr:row>
      <xdr:rowOff>0</xdr:rowOff>
    </xdr:from>
    <xdr:to>
      <xdr:col>3</xdr:col>
      <xdr:colOff>19050</xdr:colOff>
      <xdr:row>54</xdr:row>
      <xdr:rowOff>114300</xdr:rowOff>
    </xdr:to>
    <xdr:sp>
      <xdr:nvSpPr>
        <xdr:cNvPr id="149" name="Oval 211"/>
        <xdr:cNvSpPr>
          <a:spLocks/>
        </xdr:cNvSpPr>
      </xdr:nvSpPr>
      <xdr:spPr>
        <a:xfrm>
          <a:off x="2390775" y="11049000"/>
          <a:ext cx="1333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923925</xdr:colOff>
      <xdr:row>54</xdr:row>
      <xdr:rowOff>66675</xdr:rowOff>
    </xdr:from>
    <xdr:to>
      <xdr:col>3</xdr:col>
      <xdr:colOff>133350</xdr:colOff>
      <xdr:row>55</xdr:row>
      <xdr:rowOff>0</xdr:rowOff>
    </xdr:to>
    <xdr:sp>
      <xdr:nvSpPr>
        <xdr:cNvPr id="150" name="Oval 212"/>
        <xdr:cNvSpPr>
          <a:spLocks/>
        </xdr:cNvSpPr>
      </xdr:nvSpPr>
      <xdr:spPr>
        <a:xfrm>
          <a:off x="2466975" y="11115675"/>
          <a:ext cx="1714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53</xdr:row>
      <xdr:rowOff>57150</xdr:rowOff>
    </xdr:from>
    <xdr:to>
      <xdr:col>3</xdr:col>
      <xdr:colOff>161925</xdr:colOff>
      <xdr:row>53</xdr:row>
      <xdr:rowOff>171450</xdr:rowOff>
    </xdr:to>
    <xdr:sp>
      <xdr:nvSpPr>
        <xdr:cNvPr id="151" name="Oval 213"/>
        <xdr:cNvSpPr>
          <a:spLocks/>
        </xdr:cNvSpPr>
      </xdr:nvSpPr>
      <xdr:spPr>
        <a:xfrm>
          <a:off x="2581275" y="10858500"/>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161925</xdr:rowOff>
    </xdr:from>
    <xdr:to>
      <xdr:col>3</xdr:col>
      <xdr:colOff>200025</xdr:colOff>
      <xdr:row>54</xdr:row>
      <xdr:rowOff>66675</xdr:rowOff>
    </xdr:to>
    <xdr:sp>
      <xdr:nvSpPr>
        <xdr:cNvPr id="152" name="Oval 214"/>
        <xdr:cNvSpPr>
          <a:spLocks/>
        </xdr:cNvSpPr>
      </xdr:nvSpPr>
      <xdr:spPr>
        <a:xfrm>
          <a:off x="2609850" y="10963275"/>
          <a:ext cx="952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53</xdr:row>
      <xdr:rowOff>85725</xdr:rowOff>
    </xdr:from>
    <xdr:to>
      <xdr:col>3</xdr:col>
      <xdr:colOff>257175</xdr:colOff>
      <xdr:row>53</xdr:row>
      <xdr:rowOff>180975</xdr:rowOff>
    </xdr:to>
    <xdr:sp>
      <xdr:nvSpPr>
        <xdr:cNvPr id="153" name="Oval 215"/>
        <xdr:cNvSpPr>
          <a:spLocks/>
        </xdr:cNvSpPr>
      </xdr:nvSpPr>
      <xdr:spPr>
        <a:xfrm>
          <a:off x="2667000" y="1088707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53</xdr:row>
      <xdr:rowOff>19050</xdr:rowOff>
    </xdr:from>
    <xdr:to>
      <xdr:col>3</xdr:col>
      <xdr:colOff>219075</xdr:colOff>
      <xdr:row>53</xdr:row>
      <xdr:rowOff>95250</xdr:rowOff>
    </xdr:to>
    <xdr:sp>
      <xdr:nvSpPr>
        <xdr:cNvPr id="154" name="Oval 216"/>
        <xdr:cNvSpPr>
          <a:spLocks/>
        </xdr:cNvSpPr>
      </xdr:nvSpPr>
      <xdr:spPr>
        <a:xfrm>
          <a:off x="2647950" y="108204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52</xdr:row>
      <xdr:rowOff>104775</xdr:rowOff>
    </xdr:from>
    <xdr:to>
      <xdr:col>3</xdr:col>
      <xdr:colOff>333375</xdr:colOff>
      <xdr:row>53</xdr:row>
      <xdr:rowOff>66675</xdr:rowOff>
    </xdr:to>
    <xdr:sp>
      <xdr:nvSpPr>
        <xdr:cNvPr id="155" name="Oval 217"/>
        <xdr:cNvSpPr>
          <a:spLocks/>
        </xdr:cNvSpPr>
      </xdr:nvSpPr>
      <xdr:spPr>
        <a:xfrm>
          <a:off x="2695575" y="10658475"/>
          <a:ext cx="1428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51</xdr:row>
      <xdr:rowOff>171450</xdr:rowOff>
    </xdr:from>
    <xdr:to>
      <xdr:col>3</xdr:col>
      <xdr:colOff>457200</xdr:colOff>
      <xdr:row>52</xdr:row>
      <xdr:rowOff>66675</xdr:rowOff>
    </xdr:to>
    <xdr:sp>
      <xdr:nvSpPr>
        <xdr:cNvPr id="156" name="Oval 218"/>
        <xdr:cNvSpPr>
          <a:spLocks/>
        </xdr:cNvSpPr>
      </xdr:nvSpPr>
      <xdr:spPr>
        <a:xfrm>
          <a:off x="2809875" y="10534650"/>
          <a:ext cx="1524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52</xdr:row>
      <xdr:rowOff>76200</xdr:rowOff>
    </xdr:from>
    <xdr:to>
      <xdr:col>3</xdr:col>
      <xdr:colOff>342900</xdr:colOff>
      <xdr:row>52</xdr:row>
      <xdr:rowOff>152400</xdr:rowOff>
    </xdr:to>
    <xdr:sp>
      <xdr:nvSpPr>
        <xdr:cNvPr id="157" name="Oval 219"/>
        <xdr:cNvSpPr>
          <a:spLocks/>
        </xdr:cNvSpPr>
      </xdr:nvSpPr>
      <xdr:spPr>
        <a:xfrm>
          <a:off x="2771775" y="106299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52</xdr:row>
      <xdr:rowOff>19050</xdr:rowOff>
    </xdr:from>
    <xdr:to>
      <xdr:col>3</xdr:col>
      <xdr:colOff>323850</xdr:colOff>
      <xdr:row>52</xdr:row>
      <xdr:rowOff>95250</xdr:rowOff>
    </xdr:to>
    <xdr:sp>
      <xdr:nvSpPr>
        <xdr:cNvPr id="158" name="Oval 220"/>
        <xdr:cNvSpPr>
          <a:spLocks/>
        </xdr:cNvSpPr>
      </xdr:nvSpPr>
      <xdr:spPr>
        <a:xfrm>
          <a:off x="2752725" y="105727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53</xdr:row>
      <xdr:rowOff>38100</xdr:rowOff>
    </xdr:from>
    <xdr:to>
      <xdr:col>3</xdr:col>
      <xdr:colOff>304800</xdr:colOff>
      <xdr:row>53</xdr:row>
      <xdr:rowOff>95250</xdr:rowOff>
    </xdr:to>
    <xdr:sp>
      <xdr:nvSpPr>
        <xdr:cNvPr id="159" name="Oval 221"/>
        <xdr:cNvSpPr>
          <a:spLocks/>
        </xdr:cNvSpPr>
      </xdr:nvSpPr>
      <xdr:spPr>
        <a:xfrm flipH="1">
          <a:off x="2724150" y="10839450"/>
          <a:ext cx="857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52</xdr:row>
      <xdr:rowOff>57150</xdr:rowOff>
    </xdr:from>
    <xdr:to>
      <xdr:col>3</xdr:col>
      <xdr:colOff>438150</xdr:colOff>
      <xdr:row>52</xdr:row>
      <xdr:rowOff>152400</xdr:rowOff>
    </xdr:to>
    <xdr:sp>
      <xdr:nvSpPr>
        <xdr:cNvPr id="160" name="Oval 222"/>
        <xdr:cNvSpPr>
          <a:spLocks/>
        </xdr:cNvSpPr>
      </xdr:nvSpPr>
      <xdr:spPr>
        <a:xfrm>
          <a:off x="2847975" y="106108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53</xdr:row>
      <xdr:rowOff>152400</xdr:rowOff>
    </xdr:from>
    <xdr:to>
      <xdr:col>3</xdr:col>
      <xdr:colOff>628650</xdr:colOff>
      <xdr:row>55</xdr:row>
      <xdr:rowOff>38100</xdr:rowOff>
    </xdr:to>
    <xdr:sp>
      <xdr:nvSpPr>
        <xdr:cNvPr id="161" name="Line 230"/>
        <xdr:cNvSpPr>
          <a:spLocks/>
        </xdr:cNvSpPr>
      </xdr:nvSpPr>
      <xdr:spPr>
        <a:xfrm>
          <a:off x="2762250" y="10953750"/>
          <a:ext cx="371475" cy="3238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52</xdr:row>
      <xdr:rowOff>152400</xdr:rowOff>
    </xdr:from>
    <xdr:to>
      <xdr:col>3</xdr:col>
      <xdr:colOff>123825</xdr:colOff>
      <xdr:row>53</xdr:row>
      <xdr:rowOff>19050</xdr:rowOff>
    </xdr:to>
    <xdr:sp>
      <xdr:nvSpPr>
        <xdr:cNvPr id="162" name="Line 232"/>
        <xdr:cNvSpPr>
          <a:spLocks/>
        </xdr:cNvSpPr>
      </xdr:nvSpPr>
      <xdr:spPr>
        <a:xfrm flipH="1" flipV="1">
          <a:off x="2495550" y="10706100"/>
          <a:ext cx="133350" cy="11430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52</xdr:row>
      <xdr:rowOff>142875</xdr:rowOff>
    </xdr:from>
    <xdr:to>
      <xdr:col>1</xdr:col>
      <xdr:colOff>561975</xdr:colOff>
      <xdr:row>54</xdr:row>
      <xdr:rowOff>0</xdr:rowOff>
    </xdr:to>
    <xdr:sp>
      <xdr:nvSpPr>
        <xdr:cNvPr id="163" name="Line 237"/>
        <xdr:cNvSpPr>
          <a:spLocks/>
        </xdr:cNvSpPr>
      </xdr:nvSpPr>
      <xdr:spPr>
        <a:xfrm>
          <a:off x="1143000" y="10696575"/>
          <a:ext cx="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54</xdr:row>
      <xdr:rowOff>0</xdr:rowOff>
    </xdr:from>
    <xdr:to>
      <xdr:col>1</xdr:col>
      <xdr:colOff>733425</xdr:colOff>
      <xdr:row>54</xdr:row>
      <xdr:rowOff>0</xdr:rowOff>
    </xdr:to>
    <xdr:sp>
      <xdr:nvSpPr>
        <xdr:cNvPr id="164" name="Line 238"/>
        <xdr:cNvSpPr>
          <a:spLocks/>
        </xdr:cNvSpPr>
      </xdr:nvSpPr>
      <xdr:spPr>
        <a:xfrm>
          <a:off x="1143000" y="110490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xdr:row>
      <xdr:rowOff>200025</xdr:rowOff>
    </xdr:from>
    <xdr:to>
      <xdr:col>3</xdr:col>
      <xdr:colOff>219075</xdr:colOff>
      <xdr:row>30</xdr:row>
      <xdr:rowOff>76200</xdr:rowOff>
    </xdr:to>
    <xdr:sp>
      <xdr:nvSpPr>
        <xdr:cNvPr id="165" name="Line 241"/>
        <xdr:cNvSpPr>
          <a:spLocks/>
        </xdr:cNvSpPr>
      </xdr:nvSpPr>
      <xdr:spPr>
        <a:xfrm flipV="1">
          <a:off x="2505075" y="5534025"/>
          <a:ext cx="219075"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33</xdr:row>
      <xdr:rowOff>85725</xdr:rowOff>
    </xdr:from>
    <xdr:to>
      <xdr:col>0</xdr:col>
      <xdr:colOff>514350</xdr:colOff>
      <xdr:row>35</xdr:row>
      <xdr:rowOff>57150</xdr:rowOff>
    </xdr:to>
    <xdr:sp>
      <xdr:nvSpPr>
        <xdr:cNvPr id="166" name="Line 243"/>
        <xdr:cNvSpPr>
          <a:spLocks/>
        </xdr:cNvSpPr>
      </xdr:nvSpPr>
      <xdr:spPr>
        <a:xfrm flipH="1">
          <a:off x="361950" y="6610350"/>
          <a:ext cx="15240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33</xdr:row>
      <xdr:rowOff>76200</xdr:rowOff>
    </xdr:from>
    <xdr:to>
      <xdr:col>1</xdr:col>
      <xdr:colOff>47625</xdr:colOff>
      <xdr:row>35</xdr:row>
      <xdr:rowOff>57150</xdr:rowOff>
    </xdr:to>
    <xdr:sp>
      <xdr:nvSpPr>
        <xdr:cNvPr id="167" name="Line 244"/>
        <xdr:cNvSpPr>
          <a:spLocks/>
        </xdr:cNvSpPr>
      </xdr:nvSpPr>
      <xdr:spPr>
        <a:xfrm flipH="1">
          <a:off x="361950" y="6600825"/>
          <a:ext cx="266700" cy="409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34</xdr:row>
      <xdr:rowOff>9525</xdr:rowOff>
    </xdr:from>
    <xdr:to>
      <xdr:col>2</xdr:col>
      <xdr:colOff>695325</xdr:colOff>
      <xdr:row>34</xdr:row>
      <xdr:rowOff>104775</xdr:rowOff>
    </xdr:to>
    <xdr:sp>
      <xdr:nvSpPr>
        <xdr:cNvPr id="168" name="Oval 246"/>
        <xdr:cNvSpPr>
          <a:spLocks/>
        </xdr:cNvSpPr>
      </xdr:nvSpPr>
      <xdr:spPr>
        <a:xfrm>
          <a:off x="2133600" y="67722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34</xdr:row>
      <xdr:rowOff>0</xdr:rowOff>
    </xdr:from>
    <xdr:to>
      <xdr:col>2</xdr:col>
      <xdr:colOff>790575</xdr:colOff>
      <xdr:row>34</xdr:row>
      <xdr:rowOff>95250</xdr:rowOff>
    </xdr:to>
    <xdr:sp>
      <xdr:nvSpPr>
        <xdr:cNvPr id="169" name="Oval 247"/>
        <xdr:cNvSpPr>
          <a:spLocks/>
        </xdr:cNvSpPr>
      </xdr:nvSpPr>
      <xdr:spPr>
        <a:xfrm>
          <a:off x="2238375" y="67627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34</xdr:row>
      <xdr:rowOff>95250</xdr:rowOff>
    </xdr:from>
    <xdr:to>
      <xdr:col>2</xdr:col>
      <xdr:colOff>704850</xdr:colOff>
      <xdr:row>35</xdr:row>
      <xdr:rowOff>0</xdr:rowOff>
    </xdr:to>
    <xdr:sp>
      <xdr:nvSpPr>
        <xdr:cNvPr id="170" name="Oval 248"/>
        <xdr:cNvSpPr>
          <a:spLocks/>
        </xdr:cNvSpPr>
      </xdr:nvSpPr>
      <xdr:spPr>
        <a:xfrm>
          <a:off x="2124075" y="6858000"/>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771525</xdr:colOff>
      <xdr:row>34</xdr:row>
      <xdr:rowOff>66675</xdr:rowOff>
    </xdr:from>
    <xdr:to>
      <xdr:col>2</xdr:col>
      <xdr:colOff>876300</xdr:colOff>
      <xdr:row>35</xdr:row>
      <xdr:rowOff>0</xdr:rowOff>
    </xdr:to>
    <xdr:sp>
      <xdr:nvSpPr>
        <xdr:cNvPr id="171" name="Oval 249"/>
        <xdr:cNvSpPr>
          <a:spLocks/>
        </xdr:cNvSpPr>
      </xdr:nvSpPr>
      <xdr:spPr>
        <a:xfrm>
          <a:off x="2314575" y="6829425"/>
          <a:ext cx="1047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34</xdr:row>
      <xdr:rowOff>9525</xdr:rowOff>
    </xdr:from>
    <xdr:to>
      <xdr:col>3</xdr:col>
      <xdr:colOff>0</xdr:colOff>
      <xdr:row>34</xdr:row>
      <xdr:rowOff>85725</xdr:rowOff>
    </xdr:to>
    <xdr:sp>
      <xdr:nvSpPr>
        <xdr:cNvPr id="172" name="Oval 250"/>
        <xdr:cNvSpPr>
          <a:spLocks/>
        </xdr:cNvSpPr>
      </xdr:nvSpPr>
      <xdr:spPr>
        <a:xfrm>
          <a:off x="2400300" y="6772275"/>
          <a:ext cx="1047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876300</xdr:colOff>
      <xdr:row>34</xdr:row>
      <xdr:rowOff>95250</xdr:rowOff>
    </xdr:from>
    <xdr:to>
      <xdr:col>3</xdr:col>
      <xdr:colOff>9525</xdr:colOff>
      <xdr:row>35</xdr:row>
      <xdr:rowOff>0</xdr:rowOff>
    </xdr:to>
    <xdr:sp>
      <xdr:nvSpPr>
        <xdr:cNvPr id="173" name="Oval 251"/>
        <xdr:cNvSpPr>
          <a:spLocks/>
        </xdr:cNvSpPr>
      </xdr:nvSpPr>
      <xdr:spPr>
        <a:xfrm>
          <a:off x="2419350" y="685800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34</xdr:row>
      <xdr:rowOff>85725</xdr:rowOff>
    </xdr:from>
    <xdr:to>
      <xdr:col>3</xdr:col>
      <xdr:colOff>123825</xdr:colOff>
      <xdr:row>35</xdr:row>
      <xdr:rowOff>0</xdr:rowOff>
    </xdr:to>
    <xdr:sp>
      <xdr:nvSpPr>
        <xdr:cNvPr id="174" name="Oval 252"/>
        <xdr:cNvSpPr>
          <a:spLocks/>
        </xdr:cNvSpPr>
      </xdr:nvSpPr>
      <xdr:spPr>
        <a:xfrm>
          <a:off x="2524125" y="68484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34</xdr:row>
      <xdr:rowOff>104775</xdr:rowOff>
    </xdr:from>
    <xdr:to>
      <xdr:col>2</xdr:col>
      <xdr:colOff>781050</xdr:colOff>
      <xdr:row>35</xdr:row>
      <xdr:rowOff>0</xdr:rowOff>
    </xdr:to>
    <xdr:sp>
      <xdr:nvSpPr>
        <xdr:cNvPr id="175" name="Oval 253"/>
        <xdr:cNvSpPr>
          <a:spLocks/>
        </xdr:cNvSpPr>
      </xdr:nvSpPr>
      <xdr:spPr>
        <a:xfrm>
          <a:off x="2247900" y="68675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33</xdr:row>
      <xdr:rowOff>228600</xdr:rowOff>
    </xdr:from>
    <xdr:to>
      <xdr:col>2</xdr:col>
      <xdr:colOff>581025</xdr:colOff>
      <xdr:row>34</xdr:row>
      <xdr:rowOff>76200</xdr:rowOff>
    </xdr:to>
    <xdr:sp>
      <xdr:nvSpPr>
        <xdr:cNvPr id="176" name="Oval 254"/>
        <xdr:cNvSpPr>
          <a:spLocks/>
        </xdr:cNvSpPr>
      </xdr:nvSpPr>
      <xdr:spPr>
        <a:xfrm>
          <a:off x="2047875" y="67532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771525</xdr:colOff>
      <xdr:row>34</xdr:row>
      <xdr:rowOff>0</xdr:rowOff>
    </xdr:from>
    <xdr:to>
      <xdr:col>2</xdr:col>
      <xdr:colOff>866775</xdr:colOff>
      <xdr:row>34</xdr:row>
      <xdr:rowOff>85725</xdr:rowOff>
    </xdr:to>
    <xdr:sp>
      <xdr:nvSpPr>
        <xdr:cNvPr id="177" name="Oval 255"/>
        <xdr:cNvSpPr>
          <a:spLocks/>
        </xdr:cNvSpPr>
      </xdr:nvSpPr>
      <xdr:spPr>
        <a:xfrm>
          <a:off x="2314575" y="676275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923925</xdr:colOff>
      <xdr:row>34</xdr:row>
      <xdr:rowOff>66675</xdr:rowOff>
    </xdr:from>
    <xdr:to>
      <xdr:col>3</xdr:col>
      <xdr:colOff>38100</xdr:colOff>
      <xdr:row>34</xdr:row>
      <xdr:rowOff>142875</xdr:rowOff>
    </xdr:to>
    <xdr:sp>
      <xdr:nvSpPr>
        <xdr:cNvPr id="178" name="Oval 256"/>
        <xdr:cNvSpPr>
          <a:spLocks/>
        </xdr:cNvSpPr>
      </xdr:nvSpPr>
      <xdr:spPr>
        <a:xfrm>
          <a:off x="2466975" y="6829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37</xdr:row>
      <xdr:rowOff>0</xdr:rowOff>
    </xdr:from>
    <xdr:to>
      <xdr:col>9</xdr:col>
      <xdr:colOff>276225</xdr:colOff>
      <xdr:row>37</xdr:row>
      <xdr:rowOff>47625</xdr:rowOff>
    </xdr:to>
    <xdr:sp>
      <xdr:nvSpPr>
        <xdr:cNvPr id="179" name="Line 257"/>
        <xdr:cNvSpPr>
          <a:spLocks/>
        </xdr:cNvSpPr>
      </xdr:nvSpPr>
      <xdr:spPr>
        <a:xfrm>
          <a:off x="6477000" y="7439025"/>
          <a:ext cx="2152650" cy="476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35</xdr:row>
      <xdr:rowOff>0</xdr:rowOff>
    </xdr:from>
    <xdr:to>
      <xdr:col>6</xdr:col>
      <xdr:colOff>628650</xdr:colOff>
      <xdr:row>37</xdr:row>
      <xdr:rowOff>123825</xdr:rowOff>
    </xdr:to>
    <xdr:sp>
      <xdr:nvSpPr>
        <xdr:cNvPr id="180" name="Line 258"/>
        <xdr:cNvSpPr>
          <a:spLocks/>
        </xdr:cNvSpPr>
      </xdr:nvSpPr>
      <xdr:spPr>
        <a:xfrm flipV="1">
          <a:off x="6019800" y="6953250"/>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37</xdr:row>
      <xdr:rowOff>123825</xdr:rowOff>
    </xdr:from>
    <xdr:to>
      <xdr:col>6</xdr:col>
      <xdr:colOff>628650</xdr:colOff>
      <xdr:row>40</xdr:row>
      <xdr:rowOff>171450</xdr:rowOff>
    </xdr:to>
    <xdr:sp>
      <xdr:nvSpPr>
        <xdr:cNvPr id="181" name="Line 261"/>
        <xdr:cNvSpPr>
          <a:spLocks/>
        </xdr:cNvSpPr>
      </xdr:nvSpPr>
      <xdr:spPr>
        <a:xfrm>
          <a:off x="6019800" y="7562850"/>
          <a:ext cx="0" cy="619125"/>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52</xdr:row>
      <xdr:rowOff>200025</xdr:rowOff>
    </xdr:from>
    <xdr:to>
      <xdr:col>3</xdr:col>
      <xdr:colOff>209550</xdr:colOff>
      <xdr:row>53</xdr:row>
      <xdr:rowOff>28575</xdr:rowOff>
    </xdr:to>
    <xdr:sp>
      <xdr:nvSpPr>
        <xdr:cNvPr id="182" name="Oval 262"/>
        <xdr:cNvSpPr>
          <a:spLocks/>
        </xdr:cNvSpPr>
      </xdr:nvSpPr>
      <xdr:spPr>
        <a:xfrm>
          <a:off x="2638425" y="10753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52</xdr:row>
      <xdr:rowOff>142875</xdr:rowOff>
    </xdr:from>
    <xdr:to>
      <xdr:col>3</xdr:col>
      <xdr:colOff>390525</xdr:colOff>
      <xdr:row>52</xdr:row>
      <xdr:rowOff>219075</xdr:rowOff>
    </xdr:to>
    <xdr:sp>
      <xdr:nvSpPr>
        <xdr:cNvPr id="183" name="Oval 263"/>
        <xdr:cNvSpPr>
          <a:spLocks/>
        </xdr:cNvSpPr>
      </xdr:nvSpPr>
      <xdr:spPr>
        <a:xfrm>
          <a:off x="2819400" y="106965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51</xdr:row>
      <xdr:rowOff>104775</xdr:rowOff>
    </xdr:from>
    <xdr:to>
      <xdr:col>3</xdr:col>
      <xdr:colOff>361950</xdr:colOff>
      <xdr:row>52</xdr:row>
      <xdr:rowOff>0</xdr:rowOff>
    </xdr:to>
    <xdr:sp>
      <xdr:nvSpPr>
        <xdr:cNvPr id="184" name="Oval 264"/>
        <xdr:cNvSpPr>
          <a:spLocks/>
        </xdr:cNvSpPr>
      </xdr:nvSpPr>
      <xdr:spPr>
        <a:xfrm>
          <a:off x="2800350" y="10467975"/>
          <a:ext cx="666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51</xdr:row>
      <xdr:rowOff>104775</xdr:rowOff>
    </xdr:from>
    <xdr:to>
      <xdr:col>1</xdr:col>
      <xdr:colOff>666750</xdr:colOff>
      <xdr:row>52</xdr:row>
      <xdr:rowOff>0</xdr:rowOff>
    </xdr:to>
    <xdr:sp>
      <xdr:nvSpPr>
        <xdr:cNvPr id="185" name="Oval 266"/>
        <xdr:cNvSpPr>
          <a:spLocks/>
        </xdr:cNvSpPr>
      </xdr:nvSpPr>
      <xdr:spPr>
        <a:xfrm>
          <a:off x="1171575" y="104679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40</xdr:row>
      <xdr:rowOff>19050</xdr:rowOff>
    </xdr:from>
    <xdr:to>
      <xdr:col>7</xdr:col>
      <xdr:colOff>314325</xdr:colOff>
      <xdr:row>40</xdr:row>
      <xdr:rowOff>95250</xdr:rowOff>
    </xdr:to>
    <xdr:sp>
      <xdr:nvSpPr>
        <xdr:cNvPr id="186" name="Oval 267"/>
        <xdr:cNvSpPr>
          <a:spLocks/>
        </xdr:cNvSpPr>
      </xdr:nvSpPr>
      <xdr:spPr>
        <a:xfrm>
          <a:off x="6591300" y="80295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40</xdr:row>
      <xdr:rowOff>123825</xdr:rowOff>
    </xdr:from>
    <xdr:to>
      <xdr:col>7</xdr:col>
      <xdr:colOff>219075</xdr:colOff>
      <xdr:row>41</xdr:row>
      <xdr:rowOff>19050</xdr:rowOff>
    </xdr:to>
    <xdr:sp>
      <xdr:nvSpPr>
        <xdr:cNvPr id="187" name="Oval 269"/>
        <xdr:cNvSpPr>
          <a:spLocks/>
        </xdr:cNvSpPr>
      </xdr:nvSpPr>
      <xdr:spPr>
        <a:xfrm>
          <a:off x="6496050" y="81343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40</xdr:row>
      <xdr:rowOff>142875</xdr:rowOff>
    </xdr:from>
    <xdr:to>
      <xdr:col>7</xdr:col>
      <xdr:colOff>295275</xdr:colOff>
      <xdr:row>41</xdr:row>
      <xdr:rowOff>57150</xdr:rowOff>
    </xdr:to>
    <xdr:sp>
      <xdr:nvSpPr>
        <xdr:cNvPr id="188" name="Oval 270"/>
        <xdr:cNvSpPr>
          <a:spLocks/>
        </xdr:cNvSpPr>
      </xdr:nvSpPr>
      <xdr:spPr>
        <a:xfrm>
          <a:off x="6534150" y="8153400"/>
          <a:ext cx="1143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34</xdr:row>
      <xdr:rowOff>171450</xdr:rowOff>
    </xdr:from>
    <xdr:to>
      <xdr:col>4</xdr:col>
      <xdr:colOff>38100</xdr:colOff>
      <xdr:row>35</xdr:row>
      <xdr:rowOff>76200</xdr:rowOff>
    </xdr:to>
    <xdr:sp>
      <xdr:nvSpPr>
        <xdr:cNvPr id="189" name="Oval 271"/>
        <xdr:cNvSpPr>
          <a:spLocks/>
        </xdr:cNvSpPr>
      </xdr:nvSpPr>
      <xdr:spPr>
        <a:xfrm>
          <a:off x="3400425" y="6934200"/>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41</xdr:row>
      <xdr:rowOff>85725</xdr:rowOff>
    </xdr:from>
    <xdr:to>
      <xdr:col>7</xdr:col>
      <xdr:colOff>152400</xdr:colOff>
      <xdr:row>41</xdr:row>
      <xdr:rowOff>180975</xdr:rowOff>
    </xdr:to>
    <xdr:sp>
      <xdr:nvSpPr>
        <xdr:cNvPr id="190" name="Oval 272"/>
        <xdr:cNvSpPr>
          <a:spLocks/>
        </xdr:cNvSpPr>
      </xdr:nvSpPr>
      <xdr:spPr>
        <a:xfrm>
          <a:off x="6429375" y="8286750"/>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37</xdr:row>
      <xdr:rowOff>161925</xdr:rowOff>
    </xdr:from>
    <xdr:to>
      <xdr:col>4</xdr:col>
      <xdr:colOff>885825</xdr:colOff>
      <xdr:row>38</xdr:row>
      <xdr:rowOff>57150</xdr:rowOff>
    </xdr:to>
    <xdr:sp>
      <xdr:nvSpPr>
        <xdr:cNvPr id="191" name="Oval 273"/>
        <xdr:cNvSpPr>
          <a:spLocks/>
        </xdr:cNvSpPr>
      </xdr:nvSpPr>
      <xdr:spPr>
        <a:xfrm>
          <a:off x="4276725" y="76009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38</xdr:row>
      <xdr:rowOff>142875</xdr:rowOff>
    </xdr:from>
    <xdr:to>
      <xdr:col>5</xdr:col>
      <xdr:colOff>152400</xdr:colOff>
      <xdr:row>39</xdr:row>
      <xdr:rowOff>28575</xdr:rowOff>
    </xdr:to>
    <xdr:sp>
      <xdr:nvSpPr>
        <xdr:cNvPr id="192" name="Oval 274"/>
        <xdr:cNvSpPr>
          <a:spLocks/>
        </xdr:cNvSpPr>
      </xdr:nvSpPr>
      <xdr:spPr>
        <a:xfrm>
          <a:off x="4505325" y="77724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142875</xdr:rowOff>
    </xdr:from>
    <xdr:to>
      <xdr:col>7</xdr:col>
      <xdr:colOff>142875</xdr:colOff>
      <xdr:row>41</xdr:row>
      <xdr:rowOff>19050</xdr:rowOff>
    </xdr:to>
    <xdr:sp>
      <xdr:nvSpPr>
        <xdr:cNvPr id="193" name="Oval 275"/>
        <xdr:cNvSpPr>
          <a:spLocks/>
        </xdr:cNvSpPr>
      </xdr:nvSpPr>
      <xdr:spPr>
        <a:xfrm>
          <a:off x="6448425" y="8153400"/>
          <a:ext cx="47625"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36</xdr:row>
      <xdr:rowOff>66675</xdr:rowOff>
    </xdr:from>
    <xdr:to>
      <xdr:col>4</xdr:col>
      <xdr:colOff>428625</xdr:colOff>
      <xdr:row>36</xdr:row>
      <xdr:rowOff>142875</xdr:rowOff>
    </xdr:to>
    <xdr:sp>
      <xdr:nvSpPr>
        <xdr:cNvPr id="194" name="Oval 276"/>
        <xdr:cNvSpPr>
          <a:spLocks/>
        </xdr:cNvSpPr>
      </xdr:nvSpPr>
      <xdr:spPr>
        <a:xfrm>
          <a:off x="3819525" y="72580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41</xdr:row>
      <xdr:rowOff>95250</xdr:rowOff>
    </xdr:from>
    <xdr:to>
      <xdr:col>6</xdr:col>
      <xdr:colOff>85725</xdr:colOff>
      <xdr:row>42</xdr:row>
      <xdr:rowOff>0</xdr:rowOff>
    </xdr:to>
    <xdr:sp>
      <xdr:nvSpPr>
        <xdr:cNvPr id="195" name="Oval 277"/>
        <xdr:cNvSpPr>
          <a:spLocks/>
        </xdr:cNvSpPr>
      </xdr:nvSpPr>
      <xdr:spPr>
        <a:xfrm>
          <a:off x="5419725" y="8296275"/>
          <a:ext cx="571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41</xdr:row>
      <xdr:rowOff>28575</xdr:rowOff>
    </xdr:from>
    <xdr:to>
      <xdr:col>7</xdr:col>
      <xdr:colOff>266700</xdr:colOff>
      <xdr:row>41</xdr:row>
      <xdr:rowOff>95250</xdr:rowOff>
    </xdr:to>
    <xdr:sp>
      <xdr:nvSpPr>
        <xdr:cNvPr id="196" name="Oval 278"/>
        <xdr:cNvSpPr>
          <a:spLocks/>
        </xdr:cNvSpPr>
      </xdr:nvSpPr>
      <xdr:spPr>
        <a:xfrm>
          <a:off x="6534150" y="8229600"/>
          <a:ext cx="85725"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35</xdr:row>
      <xdr:rowOff>66675</xdr:rowOff>
    </xdr:from>
    <xdr:to>
      <xdr:col>4</xdr:col>
      <xdr:colOff>47625</xdr:colOff>
      <xdr:row>35</xdr:row>
      <xdr:rowOff>104775</xdr:rowOff>
    </xdr:to>
    <xdr:sp>
      <xdr:nvSpPr>
        <xdr:cNvPr id="197" name="Oval 279"/>
        <xdr:cNvSpPr>
          <a:spLocks/>
        </xdr:cNvSpPr>
      </xdr:nvSpPr>
      <xdr:spPr>
        <a:xfrm>
          <a:off x="3457575" y="7019925"/>
          <a:ext cx="5715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39</xdr:row>
      <xdr:rowOff>104775</xdr:rowOff>
    </xdr:from>
    <xdr:to>
      <xdr:col>5</xdr:col>
      <xdr:colOff>323850</xdr:colOff>
      <xdr:row>39</xdr:row>
      <xdr:rowOff>161925</xdr:rowOff>
    </xdr:to>
    <xdr:sp>
      <xdr:nvSpPr>
        <xdr:cNvPr id="198" name="Oval 280"/>
        <xdr:cNvSpPr>
          <a:spLocks/>
        </xdr:cNvSpPr>
      </xdr:nvSpPr>
      <xdr:spPr>
        <a:xfrm>
          <a:off x="4714875" y="7924800"/>
          <a:ext cx="3810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38</xdr:row>
      <xdr:rowOff>161925</xdr:rowOff>
    </xdr:from>
    <xdr:to>
      <xdr:col>5</xdr:col>
      <xdr:colOff>304800</xdr:colOff>
      <xdr:row>39</xdr:row>
      <xdr:rowOff>19050</xdr:rowOff>
    </xdr:to>
    <xdr:sp>
      <xdr:nvSpPr>
        <xdr:cNvPr id="199" name="Oval 281"/>
        <xdr:cNvSpPr>
          <a:spLocks/>
        </xdr:cNvSpPr>
      </xdr:nvSpPr>
      <xdr:spPr>
        <a:xfrm>
          <a:off x="4695825" y="7791450"/>
          <a:ext cx="38100" cy="47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857250</xdr:colOff>
      <xdr:row>40</xdr:row>
      <xdr:rowOff>142875</xdr:rowOff>
    </xdr:from>
    <xdr:to>
      <xdr:col>5</xdr:col>
      <xdr:colOff>914400</xdr:colOff>
      <xdr:row>41</xdr:row>
      <xdr:rowOff>0</xdr:rowOff>
    </xdr:to>
    <xdr:sp>
      <xdr:nvSpPr>
        <xdr:cNvPr id="200" name="Oval 282"/>
        <xdr:cNvSpPr>
          <a:spLocks/>
        </xdr:cNvSpPr>
      </xdr:nvSpPr>
      <xdr:spPr>
        <a:xfrm>
          <a:off x="5286375" y="8153400"/>
          <a:ext cx="57150" cy="47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36</xdr:row>
      <xdr:rowOff>123825</xdr:rowOff>
    </xdr:from>
    <xdr:to>
      <xdr:col>4</xdr:col>
      <xdr:colOff>514350</xdr:colOff>
      <xdr:row>36</xdr:row>
      <xdr:rowOff>200025</xdr:rowOff>
    </xdr:to>
    <xdr:sp>
      <xdr:nvSpPr>
        <xdr:cNvPr id="201" name="Oval 285"/>
        <xdr:cNvSpPr>
          <a:spLocks/>
        </xdr:cNvSpPr>
      </xdr:nvSpPr>
      <xdr:spPr>
        <a:xfrm>
          <a:off x="3905250" y="73152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38</xdr:row>
      <xdr:rowOff>28575</xdr:rowOff>
    </xdr:from>
    <xdr:to>
      <xdr:col>4</xdr:col>
      <xdr:colOff>819150</xdr:colOff>
      <xdr:row>40</xdr:row>
      <xdr:rowOff>95250</xdr:rowOff>
    </xdr:to>
    <xdr:sp>
      <xdr:nvSpPr>
        <xdr:cNvPr id="202" name="Line 287"/>
        <xdr:cNvSpPr>
          <a:spLocks/>
        </xdr:cNvSpPr>
      </xdr:nvSpPr>
      <xdr:spPr>
        <a:xfrm flipV="1">
          <a:off x="4162425" y="7658100"/>
          <a:ext cx="123825" cy="4476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52</xdr:row>
      <xdr:rowOff>0</xdr:rowOff>
    </xdr:from>
    <xdr:to>
      <xdr:col>3</xdr:col>
      <xdr:colOff>638175</xdr:colOff>
      <xdr:row>52</xdr:row>
      <xdr:rowOff>85725</xdr:rowOff>
    </xdr:to>
    <xdr:sp>
      <xdr:nvSpPr>
        <xdr:cNvPr id="203" name="Line 289"/>
        <xdr:cNvSpPr>
          <a:spLocks/>
        </xdr:cNvSpPr>
      </xdr:nvSpPr>
      <xdr:spPr>
        <a:xfrm flipH="1" flipV="1">
          <a:off x="3000375" y="10553700"/>
          <a:ext cx="142875" cy="85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51</xdr:row>
      <xdr:rowOff>152400</xdr:rowOff>
    </xdr:from>
    <xdr:to>
      <xdr:col>4</xdr:col>
      <xdr:colOff>76200</xdr:colOff>
      <xdr:row>52</xdr:row>
      <xdr:rowOff>76200</xdr:rowOff>
    </xdr:to>
    <xdr:sp>
      <xdr:nvSpPr>
        <xdr:cNvPr id="204" name="Line 290"/>
        <xdr:cNvSpPr>
          <a:spLocks/>
        </xdr:cNvSpPr>
      </xdr:nvSpPr>
      <xdr:spPr>
        <a:xfrm flipH="1">
          <a:off x="3286125" y="10515600"/>
          <a:ext cx="257175"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50</xdr:row>
      <xdr:rowOff>123825</xdr:rowOff>
    </xdr:from>
    <xdr:to>
      <xdr:col>1</xdr:col>
      <xdr:colOff>228600</xdr:colOff>
      <xdr:row>50</xdr:row>
      <xdr:rowOff>123825</xdr:rowOff>
    </xdr:to>
    <xdr:sp>
      <xdr:nvSpPr>
        <xdr:cNvPr id="205" name="Line 294"/>
        <xdr:cNvSpPr>
          <a:spLocks/>
        </xdr:cNvSpPr>
      </xdr:nvSpPr>
      <xdr:spPr>
        <a:xfrm flipH="1">
          <a:off x="457200" y="1023937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34</xdr:row>
      <xdr:rowOff>0</xdr:rowOff>
    </xdr:from>
    <xdr:to>
      <xdr:col>6</xdr:col>
      <xdr:colOff>19050</xdr:colOff>
      <xdr:row>36</xdr:row>
      <xdr:rowOff>38100</xdr:rowOff>
    </xdr:to>
    <xdr:sp>
      <xdr:nvSpPr>
        <xdr:cNvPr id="206" name="Line 304"/>
        <xdr:cNvSpPr>
          <a:spLocks/>
        </xdr:cNvSpPr>
      </xdr:nvSpPr>
      <xdr:spPr>
        <a:xfrm flipV="1">
          <a:off x="5410200" y="6762750"/>
          <a:ext cx="0" cy="466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209550</xdr:rowOff>
    </xdr:from>
    <xdr:to>
      <xdr:col>2</xdr:col>
      <xdr:colOff>9525</xdr:colOff>
      <xdr:row>31</xdr:row>
      <xdr:rowOff>19050</xdr:rowOff>
    </xdr:to>
    <xdr:sp>
      <xdr:nvSpPr>
        <xdr:cNvPr id="207" name="Line 305"/>
        <xdr:cNvSpPr>
          <a:spLocks/>
        </xdr:cNvSpPr>
      </xdr:nvSpPr>
      <xdr:spPr>
        <a:xfrm flipV="1">
          <a:off x="1552575" y="5781675"/>
          <a:ext cx="0" cy="28575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31</xdr:row>
      <xdr:rowOff>76200</xdr:rowOff>
    </xdr:from>
    <xdr:to>
      <xdr:col>3</xdr:col>
      <xdr:colOff>0</xdr:colOff>
      <xdr:row>32</xdr:row>
      <xdr:rowOff>47625</xdr:rowOff>
    </xdr:to>
    <xdr:sp>
      <xdr:nvSpPr>
        <xdr:cNvPr id="208" name="Line 306"/>
        <xdr:cNvSpPr>
          <a:spLocks/>
        </xdr:cNvSpPr>
      </xdr:nvSpPr>
      <xdr:spPr>
        <a:xfrm>
          <a:off x="2505075" y="6124575"/>
          <a:ext cx="0" cy="2095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37</xdr:row>
      <xdr:rowOff>0</xdr:rowOff>
    </xdr:from>
    <xdr:to>
      <xdr:col>7</xdr:col>
      <xdr:colOff>133350</xdr:colOff>
      <xdr:row>37</xdr:row>
      <xdr:rowOff>133350</xdr:rowOff>
    </xdr:to>
    <xdr:sp>
      <xdr:nvSpPr>
        <xdr:cNvPr id="209" name="Freeform 315"/>
        <xdr:cNvSpPr>
          <a:spLocks/>
        </xdr:cNvSpPr>
      </xdr:nvSpPr>
      <xdr:spPr>
        <a:xfrm>
          <a:off x="6391275" y="7439025"/>
          <a:ext cx="95250" cy="133350"/>
        </a:xfrm>
        <a:custGeom>
          <a:pathLst>
            <a:path h="5" w="7">
              <a:moveTo>
                <a:pt x="0" y="5"/>
              </a:moveTo>
              <a:cubicBezTo>
                <a:pt x="2" y="2"/>
                <a:pt x="4" y="0"/>
                <a:pt x="7" y="0"/>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34</xdr:row>
      <xdr:rowOff>142875</xdr:rowOff>
    </xdr:from>
    <xdr:to>
      <xdr:col>4</xdr:col>
      <xdr:colOff>752475</xdr:colOff>
      <xdr:row>35</xdr:row>
      <xdr:rowOff>219075</xdr:rowOff>
    </xdr:to>
    <xdr:sp>
      <xdr:nvSpPr>
        <xdr:cNvPr id="210" name="Line 317"/>
        <xdr:cNvSpPr>
          <a:spLocks/>
        </xdr:cNvSpPr>
      </xdr:nvSpPr>
      <xdr:spPr>
        <a:xfrm flipV="1">
          <a:off x="4019550" y="6905625"/>
          <a:ext cx="200025" cy="26670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36</xdr:row>
      <xdr:rowOff>57150</xdr:rowOff>
    </xdr:from>
    <xdr:to>
      <xdr:col>4</xdr:col>
      <xdr:colOff>485775</xdr:colOff>
      <xdr:row>36</xdr:row>
      <xdr:rowOff>133350</xdr:rowOff>
    </xdr:to>
    <xdr:sp>
      <xdr:nvSpPr>
        <xdr:cNvPr id="211" name="Oval 319"/>
        <xdr:cNvSpPr>
          <a:spLocks/>
        </xdr:cNvSpPr>
      </xdr:nvSpPr>
      <xdr:spPr>
        <a:xfrm>
          <a:off x="3876675" y="72485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4</xdr:col>
      <xdr:colOff>495300</xdr:colOff>
      <xdr:row>36</xdr:row>
      <xdr:rowOff>76200</xdr:rowOff>
    </xdr:to>
    <xdr:sp>
      <xdr:nvSpPr>
        <xdr:cNvPr id="212" name="Oval 320"/>
        <xdr:cNvSpPr>
          <a:spLocks/>
        </xdr:cNvSpPr>
      </xdr:nvSpPr>
      <xdr:spPr>
        <a:xfrm>
          <a:off x="3886200" y="71913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36</xdr:row>
      <xdr:rowOff>28575</xdr:rowOff>
    </xdr:from>
    <xdr:to>
      <xdr:col>4</xdr:col>
      <xdr:colOff>619125</xdr:colOff>
      <xdr:row>36</xdr:row>
      <xdr:rowOff>114300</xdr:rowOff>
    </xdr:to>
    <xdr:sp>
      <xdr:nvSpPr>
        <xdr:cNvPr id="213" name="Oval 321"/>
        <xdr:cNvSpPr>
          <a:spLocks/>
        </xdr:cNvSpPr>
      </xdr:nvSpPr>
      <xdr:spPr>
        <a:xfrm>
          <a:off x="3952875" y="7219950"/>
          <a:ext cx="1333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36</xdr:row>
      <xdr:rowOff>114300</xdr:rowOff>
    </xdr:from>
    <xdr:to>
      <xdr:col>4</xdr:col>
      <xdr:colOff>542925</xdr:colOff>
      <xdr:row>36</xdr:row>
      <xdr:rowOff>152400</xdr:rowOff>
    </xdr:to>
    <xdr:sp>
      <xdr:nvSpPr>
        <xdr:cNvPr id="214" name="Oval 322"/>
        <xdr:cNvSpPr>
          <a:spLocks/>
        </xdr:cNvSpPr>
      </xdr:nvSpPr>
      <xdr:spPr>
        <a:xfrm>
          <a:off x="3971925" y="730567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35</xdr:row>
      <xdr:rowOff>171450</xdr:rowOff>
    </xdr:from>
    <xdr:to>
      <xdr:col>4</xdr:col>
      <xdr:colOff>504825</xdr:colOff>
      <xdr:row>36</xdr:row>
      <xdr:rowOff>9525</xdr:rowOff>
    </xdr:to>
    <xdr:sp>
      <xdr:nvSpPr>
        <xdr:cNvPr id="215" name="Oval 323"/>
        <xdr:cNvSpPr>
          <a:spLocks/>
        </xdr:cNvSpPr>
      </xdr:nvSpPr>
      <xdr:spPr>
        <a:xfrm>
          <a:off x="3895725" y="71247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35</xdr:row>
      <xdr:rowOff>209550</xdr:rowOff>
    </xdr:from>
    <xdr:to>
      <xdr:col>4</xdr:col>
      <xdr:colOff>552450</xdr:colOff>
      <xdr:row>36</xdr:row>
      <xdr:rowOff>28575</xdr:rowOff>
    </xdr:to>
    <xdr:sp>
      <xdr:nvSpPr>
        <xdr:cNvPr id="216" name="Oval 324"/>
        <xdr:cNvSpPr>
          <a:spLocks/>
        </xdr:cNvSpPr>
      </xdr:nvSpPr>
      <xdr:spPr>
        <a:xfrm>
          <a:off x="3971925" y="7162800"/>
          <a:ext cx="476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828675</xdr:colOff>
      <xdr:row>37</xdr:row>
      <xdr:rowOff>0</xdr:rowOff>
    </xdr:from>
    <xdr:to>
      <xdr:col>7</xdr:col>
      <xdr:colOff>66675</xdr:colOff>
      <xdr:row>37</xdr:row>
      <xdr:rowOff>0</xdr:rowOff>
    </xdr:to>
    <xdr:sp>
      <xdr:nvSpPr>
        <xdr:cNvPr id="217" name="Line 325"/>
        <xdr:cNvSpPr>
          <a:spLocks/>
        </xdr:cNvSpPr>
      </xdr:nvSpPr>
      <xdr:spPr>
        <a:xfrm flipV="1">
          <a:off x="6219825" y="74390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31</xdr:row>
      <xdr:rowOff>219075</xdr:rowOff>
    </xdr:from>
    <xdr:to>
      <xdr:col>1</xdr:col>
      <xdr:colOff>542925</xdr:colOff>
      <xdr:row>32</xdr:row>
      <xdr:rowOff>152400</xdr:rowOff>
    </xdr:to>
    <xdr:sp>
      <xdr:nvSpPr>
        <xdr:cNvPr id="218" name="Rectangle 334"/>
        <xdr:cNvSpPr>
          <a:spLocks/>
        </xdr:cNvSpPr>
      </xdr:nvSpPr>
      <xdr:spPr>
        <a:xfrm>
          <a:off x="723900" y="6267450"/>
          <a:ext cx="400050" cy="171450"/>
        </a:xfrm>
        <a:prstGeom prst="rect">
          <a:avLst/>
        </a:prstGeom>
        <a:noFill/>
        <a:ln w="9525" cmpd="sng">
          <a:noFill/>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Inlet</a:t>
          </a:r>
        </a:p>
      </xdr:txBody>
    </xdr:sp>
    <xdr:clientData/>
  </xdr:twoCellAnchor>
  <xdr:twoCellAnchor>
    <xdr:from>
      <xdr:col>8</xdr:col>
      <xdr:colOff>409575</xdr:colOff>
      <xdr:row>38</xdr:row>
      <xdr:rowOff>9525</xdr:rowOff>
    </xdr:from>
    <xdr:to>
      <xdr:col>9</xdr:col>
      <xdr:colOff>28575</xdr:colOff>
      <xdr:row>39</xdr:row>
      <xdr:rowOff>28575</xdr:rowOff>
    </xdr:to>
    <xdr:sp>
      <xdr:nvSpPr>
        <xdr:cNvPr id="219" name="Rectangle 335"/>
        <xdr:cNvSpPr>
          <a:spLocks/>
        </xdr:cNvSpPr>
      </xdr:nvSpPr>
      <xdr:spPr>
        <a:xfrm>
          <a:off x="7800975" y="7639050"/>
          <a:ext cx="581025"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Outlet</a:t>
          </a:r>
        </a:p>
      </xdr:txBody>
    </xdr:sp>
    <xdr:clientData/>
  </xdr:twoCellAnchor>
  <xdr:twoCellAnchor>
    <xdr:from>
      <xdr:col>2</xdr:col>
      <xdr:colOff>9525</xdr:colOff>
      <xdr:row>29</xdr:row>
      <xdr:rowOff>0</xdr:rowOff>
    </xdr:from>
    <xdr:to>
      <xdr:col>2</xdr:col>
      <xdr:colOff>9525</xdr:colOff>
      <xdr:row>29</xdr:row>
      <xdr:rowOff>209550</xdr:rowOff>
    </xdr:to>
    <xdr:sp>
      <xdr:nvSpPr>
        <xdr:cNvPr id="220" name="Line 344"/>
        <xdr:cNvSpPr>
          <a:spLocks/>
        </xdr:cNvSpPr>
      </xdr:nvSpPr>
      <xdr:spPr>
        <a:xfrm flipV="1">
          <a:off x="1552575" y="5572125"/>
          <a:ext cx="0" cy="2095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27</xdr:row>
      <xdr:rowOff>209550</xdr:rowOff>
    </xdr:from>
    <xdr:to>
      <xdr:col>2</xdr:col>
      <xdr:colOff>9525</xdr:colOff>
      <xdr:row>29</xdr:row>
      <xdr:rowOff>0</xdr:rowOff>
    </xdr:to>
    <xdr:sp>
      <xdr:nvSpPr>
        <xdr:cNvPr id="221" name="Line 345"/>
        <xdr:cNvSpPr>
          <a:spLocks/>
        </xdr:cNvSpPr>
      </xdr:nvSpPr>
      <xdr:spPr>
        <a:xfrm flipV="1">
          <a:off x="1552575" y="5305425"/>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0</xdr:rowOff>
    </xdr:from>
    <xdr:to>
      <xdr:col>3</xdr:col>
      <xdr:colOff>704850</xdr:colOff>
      <xdr:row>29</xdr:row>
      <xdr:rowOff>133350</xdr:rowOff>
    </xdr:to>
    <xdr:sp>
      <xdr:nvSpPr>
        <xdr:cNvPr id="222" name="Freeform 349"/>
        <xdr:cNvSpPr>
          <a:spLocks/>
        </xdr:cNvSpPr>
      </xdr:nvSpPr>
      <xdr:spPr>
        <a:xfrm>
          <a:off x="76200" y="5572125"/>
          <a:ext cx="3133725" cy="133350"/>
        </a:xfrm>
        <a:custGeom>
          <a:pathLst>
            <a:path h="24" w="384">
              <a:moveTo>
                <a:pt x="0" y="0"/>
              </a:moveTo>
              <a:cubicBezTo>
                <a:pt x="25" y="0"/>
                <a:pt x="51" y="0"/>
                <a:pt x="77" y="0"/>
              </a:cubicBezTo>
              <a:cubicBezTo>
                <a:pt x="103" y="0"/>
                <a:pt x="125" y="0"/>
                <a:pt x="156" y="1"/>
              </a:cubicBezTo>
              <a:cubicBezTo>
                <a:pt x="187" y="2"/>
                <a:pt x="228" y="4"/>
                <a:pt x="261" y="7"/>
              </a:cubicBezTo>
              <a:cubicBezTo>
                <a:pt x="294" y="10"/>
                <a:pt x="333" y="15"/>
                <a:pt x="353" y="18"/>
              </a:cubicBezTo>
              <a:cubicBezTo>
                <a:pt x="373" y="21"/>
                <a:pt x="378" y="22"/>
                <a:pt x="384" y="24"/>
              </a:cubicBezTo>
            </a:path>
          </a:pathLst>
        </a:custGeom>
        <a:noFill/>
        <a:ln w="12700"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31</xdr:row>
      <xdr:rowOff>9525</xdr:rowOff>
    </xdr:from>
    <xdr:to>
      <xdr:col>6</xdr:col>
      <xdr:colOff>228600</xdr:colOff>
      <xdr:row>36</xdr:row>
      <xdr:rowOff>38100</xdr:rowOff>
    </xdr:to>
    <xdr:sp>
      <xdr:nvSpPr>
        <xdr:cNvPr id="223" name="Line 351"/>
        <xdr:cNvSpPr>
          <a:spLocks/>
        </xdr:cNvSpPr>
      </xdr:nvSpPr>
      <xdr:spPr>
        <a:xfrm>
          <a:off x="4191000" y="6057900"/>
          <a:ext cx="1428750" cy="1171575"/>
        </a:xfrm>
        <a:prstGeom prst="line">
          <a:avLst/>
        </a:prstGeom>
        <a:noFill/>
        <a:ln w="12700"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29</xdr:row>
      <xdr:rowOff>85725</xdr:rowOff>
    </xdr:from>
    <xdr:to>
      <xdr:col>4</xdr:col>
      <xdr:colOff>390525</xdr:colOff>
      <xdr:row>30</xdr:row>
      <xdr:rowOff>28575</xdr:rowOff>
    </xdr:to>
    <xdr:sp>
      <xdr:nvSpPr>
        <xdr:cNvPr id="224" name="Freeform 354"/>
        <xdr:cNvSpPr>
          <a:spLocks/>
        </xdr:cNvSpPr>
      </xdr:nvSpPr>
      <xdr:spPr>
        <a:xfrm>
          <a:off x="3228975" y="5657850"/>
          <a:ext cx="628650" cy="180975"/>
        </a:xfrm>
        <a:custGeom>
          <a:pathLst>
            <a:path h="19" w="66">
              <a:moveTo>
                <a:pt x="0" y="5"/>
              </a:moveTo>
              <a:cubicBezTo>
                <a:pt x="1" y="6"/>
                <a:pt x="3" y="8"/>
                <a:pt x="6" y="7"/>
              </a:cubicBezTo>
              <a:cubicBezTo>
                <a:pt x="9" y="6"/>
                <a:pt x="15" y="2"/>
                <a:pt x="18" y="1"/>
              </a:cubicBezTo>
              <a:cubicBezTo>
                <a:pt x="21" y="0"/>
                <a:pt x="22" y="1"/>
                <a:pt x="25" y="1"/>
              </a:cubicBezTo>
              <a:cubicBezTo>
                <a:pt x="28" y="1"/>
                <a:pt x="31" y="2"/>
                <a:pt x="35" y="3"/>
              </a:cubicBezTo>
              <a:cubicBezTo>
                <a:pt x="39" y="4"/>
                <a:pt x="43" y="6"/>
                <a:pt x="47" y="8"/>
              </a:cubicBezTo>
              <a:cubicBezTo>
                <a:pt x="51" y="10"/>
                <a:pt x="55" y="12"/>
                <a:pt x="58" y="14"/>
              </a:cubicBezTo>
              <a:cubicBezTo>
                <a:pt x="61" y="16"/>
                <a:pt x="65" y="18"/>
                <a:pt x="66" y="19"/>
              </a:cubicBezTo>
            </a:path>
          </a:pathLst>
        </a:custGeom>
        <a:noFill/>
        <a:ln w="12700"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37</xdr:row>
      <xdr:rowOff>9525</xdr:rowOff>
    </xdr:from>
    <xdr:to>
      <xdr:col>7</xdr:col>
      <xdr:colOff>457200</xdr:colOff>
      <xdr:row>38</xdr:row>
      <xdr:rowOff>19050</xdr:rowOff>
    </xdr:to>
    <xdr:sp>
      <xdr:nvSpPr>
        <xdr:cNvPr id="225" name="Line 358"/>
        <xdr:cNvSpPr>
          <a:spLocks/>
        </xdr:cNvSpPr>
      </xdr:nvSpPr>
      <xdr:spPr>
        <a:xfrm flipV="1">
          <a:off x="6810375" y="7448550"/>
          <a:ext cx="0" cy="2000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32</xdr:row>
      <xdr:rowOff>142875</xdr:rowOff>
    </xdr:from>
    <xdr:to>
      <xdr:col>1</xdr:col>
      <xdr:colOff>752475</xdr:colOff>
      <xdr:row>33</xdr:row>
      <xdr:rowOff>95250</xdr:rowOff>
    </xdr:to>
    <xdr:sp>
      <xdr:nvSpPr>
        <xdr:cNvPr id="226" name="Rectangle 360"/>
        <xdr:cNvSpPr>
          <a:spLocks/>
        </xdr:cNvSpPr>
      </xdr:nvSpPr>
      <xdr:spPr>
        <a:xfrm>
          <a:off x="723900" y="6429375"/>
          <a:ext cx="609600" cy="190500"/>
        </a:xfrm>
        <a:prstGeom prst="rect">
          <a:avLst/>
        </a:prstGeom>
        <a:noFill/>
        <a:ln w="9525" cmpd="sng">
          <a:noFill/>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Channel</a:t>
          </a:r>
        </a:p>
      </xdr:txBody>
    </xdr:sp>
    <xdr:clientData/>
  </xdr:twoCellAnchor>
  <xdr:twoCellAnchor>
    <xdr:from>
      <xdr:col>4</xdr:col>
      <xdr:colOff>752475</xdr:colOff>
      <xdr:row>32</xdr:row>
      <xdr:rowOff>142875</xdr:rowOff>
    </xdr:from>
    <xdr:to>
      <xdr:col>5</xdr:col>
      <xdr:colOff>638175</xdr:colOff>
      <xdr:row>34</xdr:row>
      <xdr:rowOff>142875</xdr:rowOff>
    </xdr:to>
    <xdr:sp>
      <xdr:nvSpPr>
        <xdr:cNvPr id="227" name="Freeform 364"/>
        <xdr:cNvSpPr>
          <a:spLocks/>
        </xdr:cNvSpPr>
      </xdr:nvSpPr>
      <xdr:spPr>
        <a:xfrm>
          <a:off x="4219575" y="6429375"/>
          <a:ext cx="847725" cy="476250"/>
        </a:xfrm>
        <a:custGeom>
          <a:pathLst>
            <a:path h="52" w="89">
              <a:moveTo>
                <a:pt x="0" y="52"/>
              </a:moveTo>
              <a:cubicBezTo>
                <a:pt x="9" y="41"/>
                <a:pt x="18" y="31"/>
                <a:pt x="26" y="24"/>
              </a:cubicBezTo>
              <a:cubicBezTo>
                <a:pt x="34" y="17"/>
                <a:pt x="41" y="12"/>
                <a:pt x="49" y="8"/>
              </a:cubicBezTo>
              <a:cubicBezTo>
                <a:pt x="57" y="4"/>
                <a:pt x="70" y="2"/>
                <a:pt x="77" y="1"/>
              </a:cubicBezTo>
              <a:cubicBezTo>
                <a:pt x="84" y="0"/>
                <a:pt x="87" y="0"/>
                <a:pt x="89"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27</xdr:row>
      <xdr:rowOff>142875</xdr:rowOff>
    </xdr:from>
    <xdr:to>
      <xdr:col>3</xdr:col>
      <xdr:colOff>581025</xdr:colOff>
      <xdr:row>28</xdr:row>
      <xdr:rowOff>200025</xdr:rowOff>
    </xdr:to>
    <xdr:sp>
      <xdr:nvSpPr>
        <xdr:cNvPr id="228" name="Freeform 367"/>
        <xdr:cNvSpPr>
          <a:spLocks/>
        </xdr:cNvSpPr>
      </xdr:nvSpPr>
      <xdr:spPr>
        <a:xfrm>
          <a:off x="2724150" y="5238750"/>
          <a:ext cx="361950" cy="295275"/>
        </a:xfrm>
        <a:custGeom>
          <a:pathLst>
            <a:path h="21" w="38">
              <a:moveTo>
                <a:pt x="0" y="21"/>
              </a:moveTo>
              <a:cubicBezTo>
                <a:pt x="4" y="16"/>
                <a:pt x="8" y="11"/>
                <a:pt x="11" y="8"/>
              </a:cubicBezTo>
              <a:cubicBezTo>
                <a:pt x="14" y="5"/>
                <a:pt x="17" y="3"/>
                <a:pt x="20" y="2"/>
              </a:cubicBezTo>
              <a:cubicBezTo>
                <a:pt x="23" y="1"/>
                <a:pt x="29" y="0"/>
                <a:pt x="32" y="0"/>
              </a:cubicBezTo>
              <a:cubicBezTo>
                <a:pt x="35" y="0"/>
                <a:pt x="36" y="0"/>
                <a:pt x="38"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38</xdr:row>
      <xdr:rowOff>161925</xdr:rowOff>
    </xdr:from>
    <xdr:to>
      <xdr:col>9</xdr:col>
      <xdr:colOff>38100</xdr:colOff>
      <xdr:row>39</xdr:row>
      <xdr:rowOff>161925</xdr:rowOff>
    </xdr:to>
    <xdr:sp>
      <xdr:nvSpPr>
        <xdr:cNvPr id="229" name="Rectangle 376"/>
        <xdr:cNvSpPr>
          <a:spLocks/>
        </xdr:cNvSpPr>
      </xdr:nvSpPr>
      <xdr:spPr>
        <a:xfrm>
          <a:off x="7800975" y="7791450"/>
          <a:ext cx="590550" cy="1905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Channel</a:t>
          </a:r>
        </a:p>
      </xdr:txBody>
    </xdr:sp>
    <xdr:clientData/>
  </xdr:twoCellAnchor>
  <xdr:twoCellAnchor>
    <xdr:from>
      <xdr:col>7</xdr:col>
      <xdr:colOff>466725</xdr:colOff>
      <xdr:row>41</xdr:row>
      <xdr:rowOff>161925</xdr:rowOff>
    </xdr:from>
    <xdr:to>
      <xdr:col>7</xdr:col>
      <xdr:colOff>723900</xdr:colOff>
      <xdr:row>42</xdr:row>
      <xdr:rowOff>114300</xdr:rowOff>
    </xdr:to>
    <xdr:sp>
      <xdr:nvSpPr>
        <xdr:cNvPr id="230" name="Freeform 383"/>
        <xdr:cNvSpPr>
          <a:spLocks/>
        </xdr:cNvSpPr>
      </xdr:nvSpPr>
      <xdr:spPr>
        <a:xfrm>
          <a:off x="6819900" y="8362950"/>
          <a:ext cx="257175" cy="152400"/>
        </a:xfrm>
        <a:custGeom>
          <a:pathLst>
            <a:path h="18" w="27">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21</xdr:row>
      <xdr:rowOff>123825</xdr:rowOff>
    </xdr:from>
    <xdr:to>
      <xdr:col>6</xdr:col>
      <xdr:colOff>295275</xdr:colOff>
      <xdr:row>21</xdr:row>
      <xdr:rowOff>123825</xdr:rowOff>
    </xdr:to>
    <xdr:sp>
      <xdr:nvSpPr>
        <xdr:cNvPr id="231" name="Line 384"/>
        <xdr:cNvSpPr>
          <a:spLocks/>
        </xdr:cNvSpPr>
      </xdr:nvSpPr>
      <xdr:spPr>
        <a:xfrm>
          <a:off x="4629150" y="4038600"/>
          <a:ext cx="105727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22</xdr:row>
      <xdr:rowOff>123825</xdr:rowOff>
    </xdr:from>
    <xdr:to>
      <xdr:col>6</xdr:col>
      <xdr:colOff>295275</xdr:colOff>
      <xdr:row>22</xdr:row>
      <xdr:rowOff>123825</xdr:rowOff>
    </xdr:to>
    <xdr:sp>
      <xdr:nvSpPr>
        <xdr:cNvPr id="232" name="Line 386"/>
        <xdr:cNvSpPr>
          <a:spLocks/>
        </xdr:cNvSpPr>
      </xdr:nvSpPr>
      <xdr:spPr>
        <a:xfrm>
          <a:off x="4581525" y="4267200"/>
          <a:ext cx="1104900"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31</xdr:row>
      <xdr:rowOff>76200</xdr:rowOff>
    </xdr:from>
    <xdr:to>
      <xdr:col>3</xdr:col>
      <xdr:colOff>66675</xdr:colOff>
      <xdr:row>31</xdr:row>
      <xdr:rowOff>76200</xdr:rowOff>
    </xdr:to>
    <xdr:sp>
      <xdr:nvSpPr>
        <xdr:cNvPr id="233" name="Line 391"/>
        <xdr:cNvSpPr>
          <a:spLocks/>
        </xdr:cNvSpPr>
      </xdr:nvSpPr>
      <xdr:spPr>
        <a:xfrm>
          <a:off x="2457450" y="6124575"/>
          <a:ext cx="114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36</xdr:row>
      <xdr:rowOff>9525</xdr:rowOff>
    </xdr:from>
    <xdr:to>
      <xdr:col>6</xdr:col>
      <xdr:colOff>123825</xdr:colOff>
      <xdr:row>37</xdr:row>
      <xdr:rowOff>0</xdr:rowOff>
    </xdr:to>
    <xdr:sp>
      <xdr:nvSpPr>
        <xdr:cNvPr id="234" name="Text Box 399"/>
        <xdr:cNvSpPr txBox="1">
          <a:spLocks noChangeArrowheads="1"/>
        </xdr:cNvSpPr>
      </xdr:nvSpPr>
      <xdr:spPr>
        <a:xfrm>
          <a:off x="4933950" y="7200900"/>
          <a:ext cx="581025" cy="2381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a:t>
          </a:r>
          <a:r>
            <a:rPr lang="en-US" cap="none" sz="1100" b="0" i="0" u="none" baseline="-25000">
              <a:solidFill>
                <a:srgbClr val="000000"/>
              </a:solidFill>
              <a:latin typeface="Arial"/>
              <a:ea typeface="Arial"/>
              <a:cs typeface="Arial"/>
            </a:rPr>
            <a:t>drop</a:t>
          </a:r>
          <a:r>
            <a:rPr lang="en-US" cap="none" sz="1100" b="0" i="0" u="none" baseline="0">
              <a:solidFill>
                <a:srgbClr val="000000"/>
              </a:solidFill>
              <a:latin typeface="Arial"/>
              <a:ea typeface="Arial"/>
              <a:cs typeface="Arial"/>
            </a:rPr>
            <a:t> =</a:t>
          </a:r>
        </a:p>
      </xdr:txBody>
    </xdr:sp>
    <xdr:clientData/>
  </xdr:twoCellAnchor>
  <xdr:twoCellAnchor>
    <xdr:from>
      <xdr:col>4</xdr:col>
      <xdr:colOff>923925</xdr:colOff>
      <xdr:row>39</xdr:row>
      <xdr:rowOff>152400</xdr:rowOff>
    </xdr:from>
    <xdr:to>
      <xdr:col>5</xdr:col>
      <xdr:colOff>95250</xdr:colOff>
      <xdr:row>40</xdr:row>
      <xdr:rowOff>171450</xdr:rowOff>
    </xdr:to>
    <xdr:sp>
      <xdr:nvSpPr>
        <xdr:cNvPr id="235" name="Text Box 402"/>
        <xdr:cNvSpPr txBox="1">
          <a:spLocks noChangeArrowheads="1"/>
        </xdr:cNvSpPr>
      </xdr:nvSpPr>
      <xdr:spPr>
        <a:xfrm>
          <a:off x="4391025" y="7972425"/>
          <a:ext cx="133350" cy="2095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a:t>
          </a:r>
        </a:p>
      </xdr:txBody>
    </xdr:sp>
    <xdr:clientData/>
  </xdr:twoCellAnchor>
  <xdr:twoCellAnchor>
    <xdr:from>
      <xdr:col>2</xdr:col>
      <xdr:colOff>914400</xdr:colOff>
      <xdr:row>36</xdr:row>
      <xdr:rowOff>219075</xdr:rowOff>
    </xdr:from>
    <xdr:to>
      <xdr:col>3</xdr:col>
      <xdr:colOff>647700</xdr:colOff>
      <xdr:row>38</xdr:row>
      <xdr:rowOff>38100</xdr:rowOff>
    </xdr:to>
    <xdr:sp>
      <xdr:nvSpPr>
        <xdr:cNvPr id="236" name="Text Box 403"/>
        <xdr:cNvSpPr txBox="1">
          <a:spLocks noChangeArrowheads="1"/>
        </xdr:cNvSpPr>
      </xdr:nvSpPr>
      <xdr:spPr>
        <a:xfrm>
          <a:off x="2457450" y="7410450"/>
          <a:ext cx="695325" cy="2571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40(D</a:t>
          </a:r>
          <a:r>
            <a:rPr lang="en-US" cap="none" sz="1100" b="0" i="0" u="none" baseline="-25000">
              <a:solidFill>
                <a:srgbClr val="000000"/>
              </a:solidFill>
              <a:latin typeface="Arial"/>
              <a:ea typeface="Arial"/>
              <a:cs typeface="Arial"/>
            </a:rPr>
            <a:t>50</a:t>
          </a:r>
          <a:r>
            <a:rPr lang="en-US" cap="none" sz="1100" b="0" i="0" u="none" baseline="0">
              <a:solidFill>
                <a:srgbClr val="000000"/>
              </a:solidFill>
              <a:latin typeface="Arial"/>
              <a:ea typeface="Arial"/>
              <a:cs typeface="Arial"/>
            </a:rPr>
            <a:t>) =</a:t>
          </a:r>
        </a:p>
      </xdr:txBody>
    </xdr:sp>
    <xdr:clientData/>
  </xdr:twoCellAnchor>
  <xdr:twoCellAnchor>
    <xdr:from>
      <xdr:col>3</xdr:col>
      <xdr:colOff>847725</xdr:colOff>
      <xdr:row>40</xdr:row>
      <xdr:rowOff>95250</xdr:rowOff>
    </xdr:from>
    <xdr:to>
      <xdr:col>4</xdr:col>
      <xdr:colOff>666750</xdr:colOff>
      <xdr:row>41</xdr:row>
      <xdr:rowOff>123825</xdr:rowOff>
    </xdr:to>
    <xdr:sp>
      <xdr:nvSpPr>
        <xdr:cNvPr id="237" name="Text Box 404"/>
        <xdr:cNvSpPr txBox="1">
          <a:spLocks noChangeArrowheads="1"/>
        </xdr:cNvSpPr>
      </xdr:nvSpPr>
      <xdr:spPr>
        <a:xfrm>
          <a:off x="3352800" y="8105775"/>
          <a:ext cx="781050" cy="2190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Geotextile</a:t>
          </a:r>
        </a:p>
      </xdr:txBody>
    </xdr:sp>
    <xdr:clientData/>
  </xdr:twoCellAnchor>
  <xdr:twoCellAnchor>
    <xdr:from>
      <xdr:col>2</xdr:col>
      <xdr:colOff>676275</xdr:colOff>
      <xdr:row>32</xdr:row>
      <xdr:rowOff>0</xdr:rowOff>
    </xdr:from>
    <xdr:to>
      <xdr:col>3</xdr:col>
      <xdr:colOff>114300</xdr:colOff>
      <xdr:row>33</xdr:row>
      <xdr:rowOff>0</xdr:rowOff>
    </xdr:to>
    <xdr:sp>
      <xdr:nvSpPr>
        <xdr:cNvPr id="238" name="Text Box 409"/>
        <xdr:cNvSpPr txBox="1">
          <a:spLocks noChangeArrowheads="1"/>
        </xdr:cNvSpPr>
      </xdr:nvSpPr>
      <xdr:spPr>
        <a:xfrm>
          <a:off x="2219325" y="6286500"/>
          <a:ext cx="400050" cy="2381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y</a:t>
          </a:r>
          <a:r>
            <a:rPr lang="en-US" cap="none" sz="1100" b="0" i="0" u="none" baseline="-25000">
              <a:solidFill>
                <a:srgbClr val="000000"/>
              </a:solidFill>
              <a:latin typeface="Arial"/>
              <a:ea typeface="Arial"/>
              <a:cs typeface="Arial"/>
            </a:rPr>
            <a:t>c</a:t>
          </a:r>
          <a:r>
            <a:rPr lang="en-US" cap="none" sz="1100" b="0" i="0" u="none" baseline="0">
              <a:solidFill>
                <a:srgbClr val="000000"/>
              </a:solidFill>
              <a:latin typeface="Arial"/>
              <a:ea typeface="Arial"/>
              <a:cs typeface="Arial"/>
            </a:rPr>
            <a:t> =</a:t>
          </a:r>
        </a:p>
      </xdr:txBody>
    </xdr:sp>
    <xdr:clientData/>
  </xdr:twoCellAnchor>
  <xdr:twoCellAnchor>
    <xdr:from>
      <xdr:col>3</xdr:col>
      <xdr:colOff>619125</xdr:colOff>
      <xdr:row>27</xdr:row>
      <xdr:rowOff>0</xdr:rowOff>
    </xdr:from>
    <xdr:to>
      <xdr:col>4</xdr:col>
      <xdr:colOff>57150</xdr:colOff>
      <xdr:row>28</xdr:row>
      <xdr:rowOff>66675</xdr:rowOff>
    </xdr:to>
    <xdr:sp>
      <xdr:nvSpPr>
        <xdr:cNvPr id="239" name="Text Box 419"/>
        <xdr:cNvSpPr txBox="1">
          <a:spLocks noChangeArrowheads="1"/>
        </xdr:cNvSpPr>
      </xdr:nvSpPr>
      <xdr:spPr>
        <a:xfrm>
          <a:off x="3124200" y="5095875"/>
          <a:ext cx="400050" cy="3048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a:t>
          </a:r>
          <a:r>
            <a:rPr lang="en-US" cap="none" sz="1100" b="0" i="0" u="none" baseline="-25000">
              <a:solidFill>
                <a:srgbClr val="000000"/>
              </a:solidFill>
              <a:latin typeface="Arial"/>
              <a:ea typeface="Arial"/>
              <a:cs typeface="Arial"/>
            </a:rPr>
            <a:t>cv</a:t>
          </a:r>
          <a:r>
            <a:rPr lang="en-US" cap="none" sz="1100" b="0" i="0" u="none" baseline="0">
              <a:solidFill>
                <a:srgbClr val="000000"/>
              </a:solidFill>
              <a:latin typeface="Arial"/>
              <a:ea typeface="Arial"/>
              <a:cs typeface="Arial"/>
            </a:rPr>
            <a:t> =</a:t>
          </a:r>
        </a:p>
      </xdr:txBody>
    </xdr:sp>
    <xdr:clientData/>
  </xdr:twoCellAnchor>
  <xdr:twoCellAnchor>
    <xdr:from>
      <xdr:col>0</xdr:col>
      <xdr:colOff>57150</xdr:colOff>
      <xdr:row>40</xdr:row>
      <xdr:rowOff>152400</xdr:rowOff>
    </xdr:from>
    <xdr:to>
      <xdr:col>0</xdr:col>
      <xdr:colOff>152400</xdr:colOff>
      <xdr:row>41</xdr:row>
      <xdr:rowOff>114300</xdr:rowOff>
    </xdr:to>
    <xdr:sp>
      <xdr:nvSpPr>
        <xdr:cNvPr id="240" name="Text Box 420"/>
        <xdr:cNvSpPr txBox="1">
          <a:spLocks noChangeArrowheads="1"/>
        </xdr:cNvSpPr>
      </xdr:nvSpPr>
      <xdr:spPr>
        <a:xfrm>
          <a:off x="57150" y="8162925"/>
          <a:ext cx="95250" cy="15240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a:t>
          </a:r>
        </a:p>
      </xdr:txBody>
    </xdr:sp>
    <xdr:clientData/>
  </xdr:twoCellAnchor>
  <xdr:twoCellAnchor>
    <xdr:from>
      <xdr:col>0</xdr:col>
      <xdr:colOff>200025</xdr:colOff>
      <xdr:row>35</xdr:row>
      <xdr:rowOff>0</xdr:rowOff>
    </xdr:from>
    <xdr:to>
      <xdr:col>0</xdr:col>
      <xdr:colOff>295275</xdr:colOff>
      <xdr:row>35</xdr:row>
      <xdr:rowOff>142875</xdr:rowOff>
    </xdr:to>
    <xdr:sp>
      <xdr:nvSpPr>
        <xdr:cNvPr id="241" name="Text Box 422"/>
        <xdr:cNvSpPr txBox="1">
          <a:spLocks noChangeArrowheads="1"/>
        </xdr:cNvSpPr>
      </xdr:nvSpPr>
      <xdr:spPr>
        <a:xfrm>
          <a:off x="200025" y="6953250"/>
          <a:ext cx="95250" cy="142875"/>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a:t>
          </a:r>
        </a:p>
      </xdr:txBody>
    </xdr:sp>
    <xdr:clientData/>
  </xdr:twoCellAnchor>
  <xdr:twoCellAnchor>
    <xdr:from>
      <xdr:col>4</xdr:col>
      <xdr:colOff>0</xdr:colOff>
      <xdr:row>30</xdr:row>
      <xdr:rowOff>123825</xdr:rowOff>
    </xdr:from>
    <xdr:to>
      <xdr:col>4</xdr:col>
      <xdr:colOff>352425</xdr:colOff>
      <xdr:row>32</xdr:row>
      <xdr:rowOff>38100</xdr:rowOff>
    </xdr:to>
    <xdr:sp>
      <xdr:nvSpPr>
        <xdr:cNvPr id="242" name="Freeform 437"/>
        <xdr:cNvSpPr>
          <a:spLocks/>
        </xdr:cNvSpPr>
      </xdr:nvSpPr>
      <xdr:spPr>
        <a:xfrm>
          <a:off x="3467100" y="5934075"/>
          <a:ext cx="352425" cy="390525"/>
        </a:xfrm>
        <a:custGeom>
          <a:pathLst>
            <a:path h="41" w="37">
              <a:moveTo>
                <a:pt x="0" y="41"/>
              </a:moveTo>
              <a:cubicBezTo>
                <a:pt x="0" y="31"/>
                <a:pt x="0" y="22"/>
                <a:pt x="0" y="17"/>
              </a:cubicBezTo>
              <a:cubicBezTo>
                <a:pt x="0" y="12"/>
                <a:pt x="0" y="14"/>
                <a:pt x="0" y="12"/>
              </a:cubicBezTo>
              <a:cubicBezTo>
                <a:pt x="0" y="10"/>
                <a:pt x="1" y="8"/>
                <a:pt x="2" y="6"/>
              </a:cubicBezTo>
              <a:cubicBezTo>
                <a:pt x="3" y="4"/>
                <a:pt x="5" y="3"/>
                <a:pt x="8" y="2"/>
              </a:cubicBezTo>
              <a:cubicBezTo>
                <a:pt x="11" y="1"/>
                <a:pt x="15" y="0"/>
                <a:pt x="18" y="0"/>
              </a:cubicBezTo>
              <a:cubicBezTo>
                <a:pt x="21" y="0"/>
                <a:pt x="23" y="0"/>
                <a:pt x="26" y="0"/>
              </a:cubicBezTo>
              <a:cubicBezTo>
                <a:pt x="29" y="0"/>
                <a:pt x="32" y="0"/>
                <a:pt x="34" y="0"/>
              </a:cubicBezTo>
              <a:cubicBezTo>
                <a:pt x="36" y="0"/>
                <a:pt x="36" y="0"/>
                <a:pt x="37"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40</xdr:row>
      <xdr:rowOff>85725</xdr:rowOff>
    </xdr:from>
    <xdr:to>
      <xdr:col>4</xdr:col>
      <xdr:colOff>695325</xdr:colOff>
      <xdr:row>41</xdr:row>
      <xdr:rowOff>9525</xdr:rowOff>
    </xdr:to>
    <xdr:sp>
      <xdr:nvSpPr>
        <xdr:cNvPr id="243" name="Freeform 441"/>
        <xdr:cNvSpPr>
          <a:spLocks/>
        </xdr:cNvSpPr>
      </xdr:nvSpPr>
      <xdr:spPr>
        <a:xfrm>
          <a:off x="3990975" y="8096250"/>
          <a:ext cx="171450" cy="114300"/>
        </a:xfrm>
        <a:custGeom>
          <a:pathLst>
            <a:path h="12" w="18">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37</xdr:row>
      <xdr:rowOff>152400</xdr:rowOff>
    </xdr:from>
    <xdr:to>
      <xdr:col>2</xdr:col>
      <xdr:colOff>76200</xdr:colOff>
      <xdr:row>39</xdr:row>
      <xdr:rowOff>76200</xdr:rowOff>
    </xdr:to>
    <xdr:sp>
      <xdr:nvSpPr>
        <xdr:cNvPr id="244" name="Text Box 450"/>
        <xdr:cNvSpPr txBox="1">
          <a:spLocks noChangeArrowheads="1"/>
        </xdr:cNvSpPr>
      </xdr:nvSpPr>
      <xdr:spPr>
        <a:xfrm>
          <a:off x="695325" y="7591425"/>
          <a:ext cx="923925" cy="3048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Velocity</a:t>
          </a:r>
          <a:r>
            <a:rPr lang="en-US" cap="none" sz="1100" b="0" i="0" u="none" baseline="-25000">
              <a:solidFill>
                <a:srgbClr val="000000"/>
              </a:solidFill>
              <a:latin typeface="Arial"/>
              <a:ea typeface="Arial"/>
              <a:cs typeface="Arial"/>
            </a:rPr>
            <a:t>inlet  </a:t>
          </a:r>
          <a:r>
            <a:rPr lang="en-US" cap="none" sz="1100" b="0" i="0" u="none" baseline="0">
              <a:solidFill>
                <a:srgbClr val="000000"/>
              </a:solidFill>
              <a:latin typeface="Arial"/>
              <a:ea typeface="Arial"/>
              <a:cs typeface="Arial"/>
            </a:rPr>
            <a:t>=</a:t>
          </a:r>
        </a:p>
      </xdr:txBody>
    </xdr:sp>
    <xdr:clientData/>
  </xdr:twoCellAnchor>
  <xdr:twoCellAnchor>
    <xdr:from>
      <xdr:col>7</xdr:col>
      <xdr:colOff>66675</xdr:colOff>
      <xdr:row>43</xdr:row>
      <xdr:rowOff>228600</xdr:rowOff>
    </xdr:from>
    <xdr:to>
      <xdr:col>8</xdr:col>
      <xdr:colOff>28575</xdr:colOff>
      <xdr:row>45</xdr:row>
      <xdr:rowOff>38100</xdr:rowOff>
    </xdr:to>
    <xdr:sp>
      <xdr:nvSpPr>
        <xdr:cNvPr id="245" name="Text Box 451"/>
        <xdr:cNvSpPr txBox="1">
          <a:spLocks noChangeArrowheads="1"/>
        </xdr:cNvSpPr>
      </xdr:nvSpPr>
      <xdr:spPr>
        <a:xfrm>
          <a:off x="6419850" y="8839200"/>
          <a:ext cx="1000125" cy="2381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Velocity</a:t>
          </a:r>
          <a:r>
            <a:rPr lang="en-US" cap="none" sz="1100" b="0" i="0" u="none" baseline="-25000">
              <a:solidFill>
                <a:srgbClr val="000000"/>
              </a:solidFill>
              <a:latin typeface="Arial"/>
              <a:ea typeface="Arial"/>
              <a:cs typeface="Arial"/>
            </a:rPr>
            <a:t>outlet  </a:t>
          </a:r>
          <a:r>
            <a:rPr lang="en-US" cap="none" sz="1100" b="0" i="0" u="none" baseline="0">
              <a:solidFill>
                <a:srgbClr val="000000"/>
              </a:solidFill>
              <a:latin typeface="Arial"/>
              <a:ea typeface="Arial"/>
              <a:cs typeface="Arial"/>
            </a:rPr>
            <a:t>=</a:t>
          </a:r>
        </a:p>
      </xdr:txBody>
    </xdr:sp>
    <xdr:clientData/>
  </xdr:twoCellAnchor>
  <xdr:twoCellAnchor>
    <xdr:from>
      <xdr:col>5</xdr:col>
      <xdr:colOff>952500</xdr:colOff>
      <xdr:row>40</xdr:row>
      <xdr:rowOff>9525</xdr:rowOff>
    </xdr:from>
    <xdr:to>
      <xdr:col>6</xdr:col>
      <xdr:colOff>571500</xdr:colOff>
      <xdr:row>40</xdr:row>
      <xdr:rowOff>9525</xdr:rowOff>
    </xdr:to>
    <xdr:sp>
      <xdr:nvSpPr>
        <xdr:cNvPr id="246" name="Line 452"/>
        <xdr:cNvSpPr>
          <a:spLocks/>
        </xdr:cNvSpPr>
      </xdr:nvSpPr>
      <xdr:spPr>
        <a:xfrm flipH="1">
          <a:off x="5381625" y="8020050"/>
          <a:ext cx="581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xdr:row>
      <xdr:rowOff>104775</xdr:rowOff>
    </xdr:from>
    <xdr:to>
      <xdr:col>1</xdr:col>
      <xdr:colOff>447675</xdr:colOff>
      <xdr:row>8</xdr:row>
      <xdr:rowOff>104775</xdr:rowOff>
    </xdr:to>
    <xdr:sp>
      <xdr:nvSpPr>
        <xdr:cNvPr id="247" name="Line 453"/>
        <xdr:cNvSpPr>
          <a:spLocks/>
        </xdr:cNvSpPr>
      </xdr:nvSpPr>
      <xdr:spPr>
        <a:xfrm>
          <a:off x="600075" y="1514475"/>
          <a:ext cx="42862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8</xdr:row>
      <xdr:rowOff>104775</xdr:rowOff>
    </xdr:from>
    <xdr:to>
      <xdr:col>4</xdr:col>
      <xdr:colOff>857250</xdr:colOff>
      <xdr:row>8</xdr:row>
      <xdr:rowOff>104775</xdr:rowOff>
    </xdr:to>
    <xdr:sp>
      <xdr:nvSpPr>
        <xdr:cNvPr id="248" name="Line 454"/>
        <xdr:cNvSpPr>
          <a:spLocks/>
        </xdr:cNvSpPr>
      </xdr:nvSpPr>
      <xdr:spPr>
        <a:xfrm>
          <a:off x="3895725" y="1514475"/>
          <a:ext cx="42862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8</xdr:row>
      <xdr:rowOff>114300</xdr:rowOff>
    </xdr:from>
    <xdr:to>
      <xdr:col>7</xdr:col>
      <xdr:colOff>342900</xdr:colOff>
      <xdr:row>8</xdr:row>
      <xdr:rowOff>114300</xdr:rowOff>
    </xdr:to>
    <xdr:sp>
      <xdr:nvSpPr>
        <xdr:cNvPr id="249" name="Line 455"/>
        <xdr:cNvSpPr>
          <a:spLocks/>
        </xdr:cNvSpPr>
      </xdr:nvSpPr>
      <xdr:spPr>
        <a:xfrm>
          <a:off x="6267450" y="1524000"/>
          <a:ext cx="42862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34</xdr:row>
      <xdr:rowOff>0</xdr:rowOff>
    </xdr:from>
    <xdr:to>
      <xdr:col>4</xdr:col>
      <xdr:colOff>200025</xdr:colOff>
      <xdr:row>34</xdr:row>
      <xdr:rowOff>152400</xdr:rowOff>
    </xdr:to>
    <xdr:sp>
      <xdr:nvSpPr>
        <xdr:cNvPr id="250" name="Freeform 474"/>
        <xdr:cNvSpPr>
          <a:spLocks/>
        </xdr:cNvSpPr>
      </xdr:nvSpPr>
      <xdr:spPr>
        <a:xfrm>
          <a:off x="3143250" y="6762750"/>
          <a:ext cx="523875" cy="152400"/>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35</xdr:row>
      <xdr:rowOff>0</xdr:rowOff>
    </xdr:from>
    <xdr:to>
      <xdr:col>4</xdr:col>
      <xdr:colOff>85725</xdr:colOff>
      <xdr:row>35</xdr:row>
      <xdr:rowOff>161925</xdr:rowOff>
    </xdr:to>
    <xdr:sp>
      <xdr:nvSpPr>
        <xdr:cNvPr id="251" name="Freeform 475"/>
        <xdr:cNvSpPr>
          <a:spLocks/>
        </xdr:cNvSpPr>
      </xdr:nvSpPr>
      <xdr:spPr>
        <a:xfrm>
          <a:off x="3038475" y="6953250"/>
          <a:ext cx="514350" cy="161925"/>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35</xdr:row>
      <xdr:rowOff>0</xdr:rowOff>
    </xdr:from>
    <xdr:to>
      <xdr:col>3</xdr:col>
      <xdr:colOff>295275</xdr:colOff>
      <xdr:row>36</xdr:row>
      <xdr:rowOff>19050</xdr:rowOff>
    </xdr:to>
    <xdr:sp>
      <xdr:nvSpPr>
        <xdr:cNvPr id="252" name="Text Box 476"/>
        <xdr:cNvSpPr txBox="1">
          <a:spLocks noChangeArrowheads="1"/>
        </xdr:cNvSpPr>
      </xdr:nvSpPr>
      <xdr:spPr>
        <a:xfrm>
          <a:off x="2286000" y="6953250"/>
          <a:ext cx="514350" cy="2571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10y</a:t>
          </a:r>
          <a:r>
            <a:rPr lang="en-US" cap="none" sz="1100" b="0" i="0" u="none" baseline="-25000">
              <a:solidFill>
                <a:srgbClr val="000000"/>
              </a:solidFill>
              <a:latin typeface="Arial"/>
              <a:ea typeface="Arial"/>
              <a:cs typeface="Arial"/>
            </a:rPr>
            <a:t>c</a:t>
          </a:r>
          <a:r>
            <a:rPr lang="en-US" cap="none" sz="1100" b="0" i="0" u="none" baseline="0">
              <a:solidFill>
                <a:srgbClr val="000000"/>
              </a:solidFill>
              <a:latin typeface="Arial"/>
              <a:ea typeface="Arial"/>
              <a:cs typeface="Arial"/>
            </a:rPr>
            <a:t> =</a:t>
          </a:r>
        </a:p>
      </xdr:txBody>
    </xdr:sp>
    <xdr:clientData/>
  </xdr:twoCellAnchor>
  <xdr:twoCellAnchor>
    <xdr:from>
      <xdr:col>3</xdr:col>
      <xdr:colOff>933450</xdr:colOff>
      <xdr:row>35</xdr:row>
      <xdr:rowOff>104775</xdr:rowOff>
    </xdr:from>
    <xdr:to>
      <xdr:col>4</xdr:col>
      <xdr:colOff>76200</xdr:colOff>
      <xdr:row>36</xdr:row>
      <xdr:rowOff>161925</xdr:rowOff>
    </xdr:to>
    <xdr:sp>
      <xdr:nvSpPr>
        <xdr:cNvPr id="253" name="Line 479"/>
        <xdr:cNvSpPr>
          <a:spLocks/>
        </xdr:cNvSpPr>
      </xdr:nvSpPr>
      <xdr:spPr>
        <a:xfrm flipH="1" flipV="1">
          <a:off x="3438525" y="7058025"/>
          <a:ext cx="104775" cy="2952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11</xdr:row>
      <xdr:rowOff>85725</xdr:rowOff>
    </xdr:from>
    <xdr:to>
      <xdr:col>5</xdr:col>
      <xdr:colOff>628650</xdr:colOff>
      <xdr:row>11</xdr:row>
      <xdr:rowOff>85725</xdr:rowOff>
    </xdr:to>
    <xdr:sp>
      <xdr:nvSpPr>
        <xdr:cNvPr id="254" name="Line 484"/>
        <xdr:cNvSpPr>
          <a:spLocks/>
        </xdr:cNvSpPr>
      </xdr:nvSpPr>
      <xdr:spPr>
        <a:xfrm flipH="1">
          <a:off x="4810125" y="2066925"/>
          <a:ext cx="2476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55</xdr:row>
      <xdr:rowOff>123825</xdr:rowOff>
    </xdr:from>
    <xdr:to>
      <xdr:col>1</xdr:col>
      <xdr:colOff>838200</xdr:colOff>
      <xdr:row>57</xdr:row>
      <xdr:rowOff>142875</xdr:rowOff>
    </xdr:to>
    <xdr:sp>
      <xdr:nvSpPr>
        <xdr:cNvPr id="255" name="Text Box 497"/>
        <xdr:cNvSpPr txBox="1">
          <a:spLocks noChangeArrowheads="1"/>
        </xdr:cNvSpPr>
      </xdr:nvSpPr>
      <xdr:spPr>
        <a:xfrm>
          <a:off x="95250" y="11363325"/>
          <a:ext cx="1323975" cy="4572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Use H</a:t>
          </a:r>
          <a:r>
            <a:rPr lang="en-US" cap="none" sz="1100" b="0" i="0" u="none" baseline="-25000">
              <a:solidFill>
                <a:srgbClr val="000000"/>
              </a:solidFill>
              <a:latin typeface="Arial"/>
              <a:ea typeface="Arial"/>
              <a:cs typeface="Arial"/>
            </a:rPr>
            <a:t>p</a:t>
          </a:r>
          <a:r>
            <a:rPr lang="en-US" cap="none" sz="1100" b="0" i="0" u="none" baseline="0">
              <a:solidFill>
                <a:srgbClr val="000000"/>
              </a:solidFill>
              <a:latin typeface="Arial"/>
              <a:ea typeface="Arial"/>
              <a:cs typeface="Arial"/>
            </a:rPr>
            <a:t> along chute but not less than z</a:t>
          </a:r>
          <a:r>
            <a:rPr lang="en-US" cap="none" sz="1100" b="0" i="0" u="none" baseline="-25000">
              <a:solidFill>
                <a:srgbClr val="000000"/>
              </a:solidFill>
              <a:latin typeface="Arial"/>
              <a:ea typeface="Arial"/>
              <a:cs typeface="Arial"/>
            </a:rPr>
            <a:t>2</a:t>
          </a:r>
          <a:r>
            <a:rPr lang="en-US" cap="none" sz="1100" b="0" i="0" u="none" baseline="0">
              <a:solidFill>
                <a:srgbClr val="000000"/>
              </a:solidFill>
              <a:latin typeface="Arial"/>
              <a:ea typeface="Arial"/>
              <a:cs typeface="Arial"/>
            </a:rPr>
            <a:t>.</a:t>
          </a:r>
        </a:p>
      </xdr:txBody>
    </xdr:sp>
    <xdr:clientData/>
  </xdr:twoCellAnchor>
  <xdr:twoCellAnchor>
    <xdr:from>
      <xdr:col>2</xdr:col>
      <xdr:colOff>257175</xdr:colOff>
      <xdr:row>52</xdr:row>
      <xdr:rowOff>104775</xdr:rowOff>
    </xdr:from>
    <xdr:to>
      <xdr:col>2</xdr:col>
      <xdr:colOff>409575</xdr:colOff>
      <xdr:row>53</xdr:row>
      <xdr:rowOff>9525</xdr:rowOff>
    </xdr:to>
    <xdr:sp>
      <xdr:nvSpPr>
        <xdr:cNvPr id="256" name="Text Box 498"/>
        <xdr:cNvSpPr txBox="1">
          <a:spLocks noChangeArrowheads="1"/>
        </xdr:cNvSpPr>
      </xdr:nvSpPr>
      <xdr:spPr>
        <a:xfrm>
          <a:off x="1800225" y="10658475"/>
          <a:ext cx="152400" cy="1524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0</xdr:col>
      <xdr:colOff>9525</xdr:colOff>
      <xdr:row>55</xdr:row>
      <xdr:rowOff>95250</xdr:rowOff>
    </xdr:from>
    <xdr:to>
      <xdr:col>0</xdr:col>
      <xdr:colOff>161925</xdr:colOff>
      <xdr:row>56</xdr:row>
      <xdr:rowOff>0</xdr:rowOff>
    </xdr:to>
    <xdr:sp>
      <xdr:nvSpPr>
        <xdr:cNvPr id="257" name="Text Box 499"/>
        <xdr:cNvSpPr txBox="1">
          <a:spLocks noChangeArrowheads="1"/>
        </xdr:cNvSpPr>
      </xdr:nvSpPr>
      <xdr:spPr>
        <a:xfrm>
          <a:off x="9525" y="11334750"/>
          <a:ext cx="152400" cy="1524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4</xdr:col>
      <xdr:colOff>57150</xdr:colOff>
      <xdr:row>50</xdr:row>
      <xdr:rowOff>219075</xdr:rowOff>
    </xdr:from>
    <xdr:to>
      <xdr:col>4</xdr:col>
      <xdr:colOff>838200</xdr:colOff>
      <xdr:row>51</xdr:row>
      <xdr:rowOff>152400</xdr:rowOff>
    </xdr:to>
    <xdr:sp>
      <xdr:nvSpPr>
        <xdr:cNvPr id="258" name="Text Box 500"/>
        <xdr:cNvSpPr txBox="1">
          <a:spLocks noChangeArrowheads="1"/>
        </xdr:cNvSpPr>
      </xdr:nvSpPr>
      <xdr:spPr>
        <a:xfrm>
          <a:off x="3524250" y="10334625"/>
          <a:ext cx="781050" cy="1809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Geotextile</a:t>
          </a:r>
        </a:p>
      </xdr:txBody>
    </xdr:sp>
    <xdr:clientData/>
  </xdr:twoCellAnchor>
  <xdr:twoCellAnchor>
    <xdr:from>
      <xdr:col>8</xdr:col>
      <xdr:colOff>409575</xdr:colOff>
      <xdr:row>42</xdr:row>
      <xdr:rowOff>190500</xdr:rowOff>
    </xdr:from>
    <xdr:to>
      <xdr:col>9</xdr:col>
      <xdr:colOff>314325</xdr:colOff>
      <xdr:row>43</xdr:row>
      <xdr:rowOff>200025</xdr:rowOff>
    </xdr:to>
    <xdr:sp>
      <xdr:nvSpPr>
        <xdr:cNvPr id="259" name="Text Box 501"/>
        <xdr:cNvSpPr txBox="1">
          <a:spLocks noChangeArrowheads="1"/>
        </xdr:cNvSpPr>
      </xdr:nvSpPr>
      <xdr:spPr>
        <a:xfrm>
          <a:off x="7800975" y="8591550"/>
          <a:ext cx="866775" cy="219075"/>
        </a:xfrm>
        <a:prstGeom prst="rect">
          <a:avLst/>
        </a:prstGeom>
        <a:noFill/>
        <a:ln w="12700" cmpd="sng">
          <a:noFill/>
        </a:ln>
      </xdr:spPr>
      <xdr:txBody>
        <a:bodyPr vertOverflow="clip" wrap="square" lIns="27432" tIns="22860" rIns="0" bIns="0"/>
        <a:p>
          <a:pPr algn="l">
            <a:defRPr/>
          </a:pPr>
          <a:r>
            <a:rPr lang="en-US" cap="none" sz="1100" b="0" i="1" u="none" baseline="0">
              <a:solidFill>
                <a:srgbClr val="FF00FF"/>
              </a:solidFill>
              <a:latin typeface="Arial"/>
              <a:ea typeface="Arial"/>
              <a:cs typeface="Arial"/>
            </a:rPr>
            <a:t>suggested}</a:t>
          </a:r>
        </a:p>
      </xdr:txBody>
    </xdr:sp>
    <xdr:clientData/>
  </xdr:twoCellAnchor>
  <xdr:twoCellAnchor>
    <xdr:from>
      <xdr:col>5</xdr:col>
      <xdr:colOff>400050</xdr:colOff>
      <xdr:row>2</xdr:row>
      <xdr:rowOff>104775</xdr:rowOff>
    </xdr:from>
    <xdr:to>
      <xdr:col>5</xdr:col>
      <xdr:colOff>400050</xdr:colOff>
      <xdr:row>6</xdr:row>
      <xdr:rowOff>66675</xdr:rowOff>
    </xdr:to>
    <xdr:sp>
      <xdr:nvSpPr>
        <xdr:cNvPr id="260" name="Line 508"/>
        <xdr:cNvSpPr>
          <a:spLocks/>
        </xdr:cNvSpPr>
      </xdr:nvSpPr>
      <xdr:spPr>
        <a:xfrm>
          <a:off x="4829175" y="609600"/>
          <a:ext cx="0" cy="62865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51</xdr:row>
      <xdr:rowOff>180975</xdr:rowOff>
    </xdr:from>
    <xdr:to>
      <xdr:col>1</xdr:col>
      <xdr:colOff>628650</xdr:colOff>
      <xdr:row>52</xdr:row>
      <xdr:rowOff>95250</xdr:rowOff>
    </xdr:to>
    <xdr:sp>
      <xdr:nvSpPr>
        <xdr:cNvPr id="261" name="Oval 526"/>
        <xdr:cNvSpPr>
          <a:spLocks/>
        </xdr:cNvSpPr>
      </xdr:nvSpPr>
      <xdr:spPr>
        <a:xfrm>
          <a:off x="1123950" y="10544175"/>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51</xdr:row>
      <xdr:rowOff>104775</xdr:rowOff>
    </xdr:from>
    <xdr:to>
      <xdr:col>3</xdr:col>
      <xdr:colOff>504825</xdr:colOff>
      <xdr:row>52</xdr:row>
      <xdr:rowOff>0</xdr:rowOff>
    </xdr:to>
    <xdr:sp>
      <xdr:nvSpPr>
        <xdr:cNvPr id="262" name="Oval 527"/>
        <xdr:cNvSpPr>
          <a:spLocks/>
        </xdr:cNvSpPr>
      </xdr:nvSpPr>
      <xdr:spPr>
        <a:xfrm>
          <a:off x="2924175" y="1046797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51</xdr:row>
      <xdr:rowOff>95250</xdr:rowOff>
    </xdr:from>
    <xdr:to>
      <xdr:col>3</xdr:col>
      <xdr:colOff>447675</xdr:colOff>
      <xdr:row>51</xdr:row>
      <xdr:rowOff>171450</xdr:rowOff>
    </xdr:to>
    <xdr:sp>
      <xdr:nvSpPr>
        <xdr:cNvPr id="263" name="Oval 528"/>
        <xdr:cNvSpPr>
          <a:spLocks/>
        </xdr:cNvSpPr>
      </xdr:nvSpPr>
      <xdr:spPr>
        <a:xfrm>
          <a:off x="2857500" y="1045845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xdr:row>
      <xdr:rowOff>0</xdr:rowOff>
    </xdr:from>
    <xdr:to>
      <xdr:col>8</xdr:col>
      <xdr:colOff>666750</xdr:colOff>
      <xdr:row>10</xdr:row>
      <xdr:rowOff>47625</xdr:rowOff>
    </xdr:to>
    <xdr:sp>
      <xdr:nvSpPr>
        <xdr:cNvPr id="264" name="Text Box 529"/>
        <xdr:cNvSpPr txBox="1">
          <a:spLocks noChangeArrowheads="1"/>
        </xdr:cNvSpPr>
      </xdr:nvSpPr>
      <xdr:spPr>
        <a:xfrm>
          <a:off x="7791450" y="1600200"/>
          <a:ext cx="26670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8</xdr:col>
      <xdr:colOff>371475</xdr:colOff>
      <xdr:row>14</xdr:row>
      <xdr:rowOff>0</xdr:rowOff>
    </xdr:from>
    <xdr:to>
      <xdr:col>8</xdr:col>
      <xdr:colOff>657225</xdr:colOff>
      <xdr:row>15</xdr:row>
      <xdr:rowOff>38100</xdr:rowOff>
    </xdr:to>
    <xdr:sp>
      <xdr:nvSpPr>
        <xdr:cNvPr id="265" name="Text Box 530"/>
        <xdr:cNvSpPr txBox="1">
          <a:spLocks noChangeArrowheads="1"/>
        </xdr:cNvSpPr>
      </xdr:nvSpPr>
      <xdr:spPr>
        <a:xfrm>
          <a:off x="7762875" y="2571750"/>
          <a:ext cx="2857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8</xdr:col>
      <xdr:colOff>561975</xdr:colOff>
      <xdr:row>11</xdr:row>
      <xdr:rowOff>180975</xdr:rowOff>
    </xdr:from>
    <xdr:to>
      <xdr:col>8</xdr:col>
      <xdr:colOff>952500</xdr:colOff>
      <xdr:row>14</xdr:row>
      <xdr:rowOff>28575</xdr:rowOff>
    </xdr:to>
    <xdr:sp>
      <xdr:nvSpPr>
        <xdr:cNvPr id="266" name="Text Box 531"/>
        <xdr:cNvSpPr txBox="1">
          <a:spLocks noChangeArrowheads="1"/>
        </xdr:cNvSpPr>
      </xdr:nvSpPr>
      <xdr:spPr>
        <a:xfrm>
          <a:off x="7953375" y="2162175"/>
          <a:ext cx="390525" cy="4381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ft./ft.</a:t>
          </a:r>
        </a:p>
      </xdr:txBody>
    </xdr:sp>
    <xdr:clientData/>
  </xdr:twoCellAnchor>
  <xdr:twoCellAnchor>
    <xdr:from>
      <xdr:col>8</xdr:col>
      <xdr:colOff>285750</xdr:colOff>
      <xdr:row>9</xdr:row>
      <xdr:rowOff>180975</xdr:rowOff>
    </xdr:from>
    <xdr:to>
      <xdr:col>8</xdr:col>
      <xdr:colOff>828675</xdr:colOff>
      <xdr:row>11</xdr:row>
      <xdr:rowOff>0</xdr:rowOff>
    </xdr:to>
    <xdr:sp>
      <xdr:nvSpPr>
        <xdr:cNvPr id="267" name="Text Box 533"/>
        <xdr:cNvSpPr txBox="1">
          <a:spLocks noChangeArrowheads="1"/>
        </xdr:cNvSpPr>
      </xdr:nvSpPr>
      <xdr:spPr>
        <a:xfrm>
          <a:off x="7677150" y="1781175"/>
          <a:ext cx="54292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(m:1)</a:t>
          </a:r>
        </a:p>
      </xdr:txBody>
    </xdr:sp>
    <xdr:clientData/>
  </xdr:twoCellAnchor>
  <xdr:twoCellAnchor>
    <xdr:from>
      <xdr:col>5</xdr:col>
      <xdr:colOff>409575</xdr:colOff>
      <xdr:row>9</xdr:row>
      <xdr:rowOff>0</xdr:rowOff>
    </xdr:from>
    <xdr:to>
      <xdr:col>5</xdr:col>
      <xdr:colOff>647700</xdr:colOff>
      <xdr:row>10</xdr:row>
      <xdr:rowOff>47625</xdr:rowOff>
    </xdr:to>
    <xdr:sp>
      <xdr:nvSpPr>
        <xdr:cNvPr id="268" name="Text Box 535"/>
        <xdr:cNvSpPr txBox="1">
          <a:spLocks noChangeArrowheads="1"/>
        </xdr:cNvSpPr>
      </xdr:nvSpPr>
      <xdr:spPr>
        <a:xfrm>
          <a:off x="4838700" y="1600200"/>
          <a:ext cx="23812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295275</xdr:colOff>
      <xdr:row>14</xdr:row>
      <xdr:rowOff>0</xdr:rowOff>
    </xdr:from>
    <xdr:to>
      <xdr:col>5</xdr:col>
      <xdr:colOff>647700</xdr:colOff>
      <xdr:row>15</xdr:row>
      <xdr:rowOff>38100</xdr:rowOff>
    </xdr:to>
    <xdr:sp>
      <xdr:nvSpPr>
        <xdr:cNvPr id="269" name="Text Box 536"/>
        <xdr:cNvSpPr txBox="1">
          <a:spLocks noChangeArrowheads="1"/>
        </xdr:cNvSpPr>
      </xdr:nvSpPr>
      <xdr:spPr>
        <a:xfrm>
          <a:off x="4724400" y="2571750"/>
          <a:ext cx="35242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466725</xdr:colOff>
      <xdr:row>11</xdr:row>
      <xdr:rowOff>180975</xdr:rowOff>
    </xdr:from>
    <xdr:to>
      <xdr:col>5</xdr:col>
      <xdr:colOff>790575</xdr:colOff>
      <xdr:row>13</xdr:row>
      <xdr:rowOff>0</xdr:rowOff>
    </xdr:to>
    <xdr:sp>
      <xdr:nvSpPr>
        <xdr:cNvPr id="270" name="Text Box 537"/>
        <xdr:cNvSpPr txBox="1">
          <a:spLocks noChangeArrowheads="1"/>
        </xdr:cNvSpPr>
      </xdr:nvSpPr>
      <xdr:spPr>
        <a:xfrm>
          <a:off x="4895850" y="2162175"/>
          <a:ext cx="3238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ft./ft. </a:t>
          </a:r>
        </a:p>
      </xdr:txBody>
    </xdr:sp>
    <xdr:clientData/>
  </xdr:twoCellAnchor>
  <xdr:twoCellAnchor>
    <xdr:from>
      <xdr:col>5</xdr:col>
      <xdr:colOff>295275</xdr:colOff>
      <xdr:row>11</xdr:row>
      <xdr:rowOff>0</xdr:rowOff>
    </xdr:from>
    <xdr:to>
      <xdr:col>5</xdr:col>
      <xdr:colOff>733425</xdr:colOff>
      <xdr:row>12</xdr:row>
      <xdr:rowOff>47625</xdr:rowOff>
    </xdr:to>
    <xdr:sp>
      <xdr:nvSpPr>
        <xdr:cNvPr id="271" name="Text Box 538"/>
        <xdr:cNvSpPr txBox="1">
          <a:spLocks noChangeArrowheads="1"/>
        </xdr:cNvSpPr>
      </xdr:nvSpPr>
      <xdr:spPr>
        <a:xfrm>
          <a:off x="4724400" y="1981200"/>
          <a:ext cx="4381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(m:1) </a:t>
          </a:r>
        </a:p>
      </xdr:txBody>
    </xdr:sp>
    <xdr:clientData/>
  </xdr:twoCellAnchor>
  <xdr:twoCellAnchor>
    <xdr:from>
      <xdr:col>2</xdr:col>
      <xdr:colOff>400050</xdr:colOff>
      <xdr:row>9</xdr:row>
      <xdr:rowOff>0</xdr:rowOff>
    </xdr:from>
    <xdr:to>
      <xdr:col>2</xdr:col>
      <xdr:colOff>647700</xdr:colOff>
      <xdr:row>10</xdr:row>
      <xdr:rowOff>47625</xdr:rowOff>
    </xdr:to>
    <xdr:sp>
      <xdr:nvSpPr>
        <xdr:cNvPr id="272" name="Text Box 539"/>
        <xdr:cNvSpPr txBox="1">
          <a:spLocks noChangeArrowheads="1"/>
        </xdr:cNvSpPr>
      </xdr:nvSpPr>
      <xdr:spPr>
        <a:xfrm>
          <a:off x="1943100" y="1600200"/>
          <a:ext cx="2476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285750</xdr:colOff>
      <xdr:row>13</xdr:row>
      <xdr:rowOff>0</xdr:rowOff>
    </xdr:from>
    <xdr:to>
      <xdr:col>5</xdr:col>
      <xdr:colOff>571500</xdr:colOff>
      <xdr:row>14</xdr:row>
      <xdr:rowOff>38100</xdr:rowOff>
    </xdr:to>
    <xdr:sp>
      <xdr:nvSpPr>
        <xdr:cNvPr id="273" name="Text Box 540"/>
        <xdr:cNvSpPr txBox="1">
          <a:spLocks noChangeArrowheads="1"/>
        </xdr:cNvSpPr>
      </xdr:nvSpPr>
      <xdr:spPr>
        <a:xfrm>
          <a:off x="4714875" y="2371725"/>
          <a:ext cx="2857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542925</xdr:colOff>
      <xdr:row>12</xdr:row>
      <xdr:rowOff>0</xdr:rowOff>
    </xdr:from>
    <xdr:to>
      <xdr:col>2</xdr:col>
      <xdr:colOff>933450</xdr:colOff>
      <xdr:row>14</xdr:row>
      <xdr:rowOff>38100</xdr:rowOff>
    </xdr:to>
    <xdr:sp>
      <xdr:nvSpPr>
        <xdr:cNvPr id="274" name="Text Box 541"/>
        <xdr:cNvSpPr txBox="1">
          <a:spLocks noChangeArrowheads="1"/>
        </xdr:cNvSpPr>
      </xdr:nvSpPr>
      <xdr:spPr>
        <a:xfrm>
          <a:off x="2085975" y="2171700"/>
          <a:ext cx="390525" cy="4381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ft./ft.</a:t>
          </a:r>
        </a:p>
      </xdr:txBody>
    </xdr:sp>
    <xdr:clientData/>
  </xdr:twoCellAnchor>
  <xdr:twoCellAnchor>
    <xdr:from>
      <xdr:col>2</xdr:col>
      <xdr:colOff>285750</xdr:colOff>
      <xdr:row>9</xdr:row>
      <xdr:rowOff>180975</xdr:rowOff>
    </xdr:from>
    <xdr:to>
      <xdr:col>2</xdr:col>
      <xdr:colOff>838200</xdr:colOff>
      <xdr:row>11</xdr:row>
      <xdr:rowOff>28575</xdr:rowOff>
    </xdr:to>
    <xdr:sp>
      <xdr:nvSpPr>
        <xdr:cNvPr id="275" name="Text Box 542"/>
        <xdr:cNvSpPr txBox="1">
          <a:spLocks noChangeArrowheads="1"/>
        </xdr:cNvSpPr>
      </xdr:nvSpPr>
      <xdr:spPr>
        <a:xfrm>
          <a:off x="1828800" y="1781175"/>
          <a:ext cx="552450"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(m:1)</a:t>
          </a:r>
        </a:p>
      </xdr:txBody>
    </xdr:sp>
    <xdr:clientData/>
  </xdr:twoCellAnchor>
  <xdr:twoCellAnchor>
    <xdr:from>
      <xdr:col>5</xdr:col>
      <xdr:colOff>409575</xdr:colOff>
      <xdr:row>9</xdr:row>
      <xdr:rowOff>171450</xdr:rowOff>
    </xdr:from>
    <xdr:to>
      <xdr:col>5</xdr:col>
      <xdr:colOff>742950</xdr:colOff>
      <xdr:row>11</xdr:row>
      <xdr:rowOff>28575</xdr:rowOff>
    </xdr:to>
    <xdr:sp>
      <xdr:nvSpPr>
        <xdr:cNvPr id="276" name="Text Box 544"/>
        <xdr:cNvSpPr txBox="1">
          <a:spLocks noChangeArrowheads="1"/>
        </xdr:cNvSpPr>
      </xdr:nvSpPr>
      <xdr:spPr>
        <a:xfrm>
          <a:off x="4838700" y="1771650"/>
          <a:ext cx="33337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a:t>
          </a:r>
          <a:r>
            <a:rPr lang="en-US" cap="none" sz="1200" b="0" i="0" u="none" baseline="-25000">
              <a:solidFill>
                <a:srgbClr val="000000"/>
              </a:solidFill>
              <a:latin typeface="Arial"/>
              <a:ea typeface="Arial"/>
              <a:cs typeface="Arial"/>
            </a:rPr>
            <a:t>s</a:t>
          </a:r>
          <a:r>
            <a:rPr lang="en-US" cap="none" sz="1200" b="0" i="0" u="none" baseline="0">
              <a:solidFill>
                <a:srgbClr val="000000"/>
              </a:solidFill>
              <a:latin typeface="Arial"/>
              <a:ea typeface="Arial"/>
              <a:cs typeface="Arial"/>
            </a:rPr>
            <a:t>)</a:t>
          </a:r>
        </a:p>
      </xdr:txBody>
    </xdr:sp>
    <xdr:clientData/>
  </xdr:twoCellAnchor>
  <xdr:twoCellAnchor>
    <xdr:from>
      <xdr:col>2</xdr:col>
      <xdr:colOff>504825</xdr:colOff>
      <xdr:row>21</xdr:row>
      <xdr:rowOff>9525</xdr:rowOff>
    </xdr:from>
    <xdr:to>
      <xdr:col>2</xdr:col>
      <xdr:colOff>790575</xdr:colOff>
      <xdr:row>22</xdr:row>
      <xdr:rowOff>19050</xdr:rowOff>
    </xdr:to>
    <xdr:sp>
      <xdr:nvSpPr>
        <xdr:cNvPr id="277" name="Text Box 545"/>
        <xdr:cNvSpPr txBox="1">
          <a:spLocks noChangeArrowheads="1"/>
        </xdr:cNvSpPr>
      </xdr:nvSpPr>
      <xdr:spPr>
        <a:xfrm>
          <a:off x="2047875" y="3924300"/>
          <a:ext cx="2857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514350</xdr:colOff>
      <xdr:row>22</xdr:row>
      <xdr:rowOff>28575</xdr:rowOff>
    </xdr:from>
    <xdr:to>
      <xdr:col>2</xdr:col>
      <xdr:colOff>800100</xdr:colOff>
      <xdr:row>23</xdr:row>
      <xdr:rowOff>28575</xdr:rowOff>
    </xdr:to>
    <xdr:sp>
      <xdr:nvSpPr>
        <xdr:cNvPr id="278" name="Text Box 546"/>
        <xdr:cNvSpPr txBox="1">
          <a:spLocks noChangeArrowheads="1"/>
        </xdr:cNvSpPr>
      </xdr:nvSpPr>
      <xdr:spPr>
        <a:xfrm>
          <a:off x="2057400" y="4171950"/>
          <a:ext cx="2857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3</xdr:col>
      <xdr:colOff>190500</xdr:colOff>
      <xdr:row>55</xdr:row>
      <xdr:rowOff>0</xdr:rowOff>
    </xdr:from>
    <xdr:to>
      <xdr:col>4</xdr:col>
      <xdr:colOff>247650</xdr:colOff>
      <xdr:row>55</xdr:row>
      <xdr:rowOff>238125</xdr:rowOff>
    </xdr:to>
    <xdr:sp>
      <xdr:nvSpPr>
        <xdr:cNvPr id="279" name="Text Box 548"/>
        <xdr:cNvSpPr txBox="1">
          <a:spLocks noChangeArrowheads="1"/>
        </xdr:cNvSpPr>
      </xdr:nvSpPr>
      <xdr:spPr>
        <a:xfrm>
          <a:off x="2695575" y="11239500"/>
          <a:ext cx="101917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a:t>
          </a:r>
          <a:r>
            <a:rPr lang="en-US" cap="none" sz="1200" b="0" i="0" u="none" baseline="-25000">
              <a:solidFill>
                <a:srgbClr val="000000"/>
              </a:solidFill>
              <a:latin typeface="Arial"/>
              <a:ea typeface="Arial"/>
              <a:cs typeface="Arial"/>
            </a:rPr>
            <a:t>thickness </a:t>
          </a:r>
          <a:r>
            <a:rPr lang="en-US" cap="none" sz="1200" b="0" i="0" u="none" baseline="0">
              <a:solidFill>
                <a:srgbClr val="000000"/>
              </a:solidFill>
              <a:latin typeface="Arial"/>
              <a:ea typeface="Arial"/>
              <a:cs typeface="Arial"/>
            </a:rPr>
            <a:t>=</a:t>
          </a:r>
        </a:p>
      </xdr:txBody>
    </xdr:sp>
    <xdr:clientData/>
  </xdr:twoCellAnchor>
  <xdr:twoCellAnchor>
    <xdr:from>
      <xdr:col>7</xdr:col>
      <xdr:colOff>76200</xdr:colOff>
      <xdr:row>40</xdr:row>
      <xdr:rowOff>9525</xdr:rowOff>
    </xdr:from>
    <xdr:to>
      <xdr:col>7</xdr:col>
      <xdr:colOff>228600</xdr:colOff>
      <xdr:row>40</xdr:row>
      <xdr:rowOff>9525</xdr:rowOff>
    </xdr:to>
    <xdr:sp>
      <xdr:nvSpPr>
        <xdr:cNvPr id="280" name="Line 556"/>
        <xdr:cNvSpPr>
          <a:spLocks/>
        </xdr:cNvSpPr>
      </xdr:nvSpPr>
      <xdr:spPr>
        <a:xfrm flipH="1">
          <a:off x="6429375" y="8020050"/>
          <a:ext cx="152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40</xdr:row>
      <xdr:rowOff>9525</xdr:rowOff>
    </xdr:from>
    <xdr:to>
      <xdr:col>7</xdr:col>
      <xdr:colOff>76200</xdr:colOff>
      <xdr:row>40</xdr:row>
      <xdr:rowOff>142875</xdr:rowOff>
    </xdr:to>
    <xdr:sp>
      <xdr:nvSpPr>
        <xdr:cNvPr id="281" name="Line 557"/>
        <xdr:cNvSpPr>
          <a:spLocks/>
        </xdr:cNvSpPr>
      </xdr:nvSpPr>
      <xdr:spPr>
        <a:xfrm>
          <a:off x="6429375" y="8020050"/>
          <a:ext cx="0" cy="133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39</xdr:row>
      <xdr:rowOff>19050</xdr:rowOff>
    </xdr:from>
    <xdr:to>
      <xdr:col>7</xdr:col>
      <xdr:colOff>352425</xdr:colOff>
      <xdr:row>40</xdr:row>
      <xdr:rowOff>28575</xdr:rowOff>
    </xdr:to>
    <xdr:sp>
      <xdr:nvSpPr>
        <xdr:cNvPr id="282" name="Text Box 558"/>
        <xdr:cNvSpPr txBox="1">
          <a:spLocks noChangeArrowheads="1"/>
        </xdr:cNvSpPr>
      </xdr:nvSpPr>
      <xdr:spPr>
        <a:xfrm>
          <a:off x="6400800" y="7839075"/>
          <a:ext cx="304800" cy="2000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2.5
</a:t>
          </a:r>
        </a:p>
      </xdr:txBody>
    </xdr:sp>
    <xdr:clientData/>
  </xdr:twoCellAnchor>
  <xdr:twoCellAnchor>
    <xdr:from>
      <xdr:col>6</xdr:col>
      <xdr:colOff>904875</xdr:colOff>
      <xdr:row>39</xdr:row>
      <xdr:rowOff>161925</xdr:rowOff>
    </xdr:from>
    <xdr:to>
      <xdr:col>7</xdr:col>
      <xdr:colOff>66675</xdr:colOff>
      <xdr:row>40</xdr:row>
      <xdr:rowOff>161925</xdr:rowOff>
    </xdr:to>
    <xdr:sp>
      <xdr:nvSpPr>
        <xdr:cNvPr id="283" name="Text Box 559"/>
        <xdr:cNvSpPr txBox="1">
          <a:spLocks noChangeArrowheads="1"/>
        </xdr:cNvSpPr>
      </xdr:nvSpPr>
      <xdr:spPr>
        <a:xfrm>
          <a:off x="6296025" y="7981950"/>
          <a:ext cx="123825"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a:t>
          </a:r>
        </a:p>
      </xdr:txBody>
    </xdr:sp>
    <xdr:clientData/>
  </xdr:twoCellAnchor>
  <xdr:twoCellAnchor>
    <xdr:from>
      <xdr:col>3</xdr:col>
      <xdr:colOff>933450</xdr:colOff>
      <xdr:row>36</xdr:row>
      <xdr:rowOff>161925</xdr:rowOff>
    </xdr:from>
    <xdr:to>
      <xdr:col>4</xdr:col>
      <xdr:colOff>114300</xdr:colOff>
      <xdr:row>38</xdr:row>
      <xdr:rowOff>19050</xdr:rowOff>
    </xdr:to>
    <xdr:sp>
      <xdr:nvSpPr>
        <xdr:cNvPr id="284" name="Freeform 563"/>
        <xdr:cNvSpPr>
          <a:spLocks/>
        </xdr:cNvSpPr>
      </xdr:nvSpPr>
      <xdr:spPr>
        <a:xfrm>
          <a:off x="3438525" y="7353300"/>
          <a:ext cx="142875" cy="295275"/>
        </a:xfrm>
        <a:custGeom>
          <a:pathLst>
            <a:path h="31" w="15">
              <a:moveTo>
                <a:pt x="11" y="0"/>
              </a:moveTo>
              <a:cubicBezTo>
                <a:pt x="13" y="5"/>
                <a:pt x="15" y="11"/>
                <a:pt x="15" y="15"/>
              </a:cubicBezTo>
              <a:cubicBezTo>
                <a:pt x="15" y="19"/>
                <a:pt x="14" y="22"/>
                <a:pt x="13" y="24"/>
              </a:cubicBezTo>
              <a:cubicBezTo>
                <a:pt x="12" y="26"/>
                <a:pt x="10" y="28"/>
                <a:pt x="9" y="29"/>
              </a:cubicBezTo>
              <a:cubicBezTo>
                <a:pt x="8" y="30"/>
                <a:pt x="6" y="31"/>
                <a:pt x="5" y="31"/>
              </a:cubicBezTo>
              <a:cubicBezTo>
                <a:pt x="4" y="31"/>
                <a:pt x="3" y="31"/>
                <a:pt x="2" y="31"/>
              </a:cubicBezTo>
              <a:cubicBezTo>
                <a:pt x="1" y="31"/>
                <a:pt x="0" y="31"/>
                <a:pt x="0" y="31"/>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17</xdr:row>
      <xdr:rowOff>0</xdr:rowOff>
    </xdr:from>
    <xdr:to>
      <xdr:col>2</xdr:col>
      <xdr:colOff>133350</xdr:colOff>
      <xdr:row>18</xdr:row>
      <xdr:rowOff>57150</xdr:rowOff>
    </xdr:to>
    <xdr:sp>
      <xdr:nvSpPr>
        <xdr:cNvPr id="285" name="Text Box 570"/>
        <xdr:cNvSpPr txBox="1">
          <a:spLocks noChangeArrowheads="1"/>
        </xdr:cNvSpPr>
      </xdr:nvSpPr>
      <xdr:spPr>
        <a:xfrm>
          <a:off x="152400" y="3076575"/>
          <a:ext cx="1524000" cy="2476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Apron elev. --- Inlet =</a:t>
          </a:r>
        </a:p>
      </xdr:txBody>
    </xdr:sp>
    <xdr:clientData/>
  </xdr:twoCellAnchor>
  <xdr:twoCellAnchor>
    <xdr:from>
      <xdr:col>6</xdr:col>
      <xdr:colOff>857250</xdr:colOff>
      <xdr:row>35</xdr:row>
      <xdr:rowOff>123825</xdr:rowOff>
    </xdr:from>
    <xdr:to>
      <xdr:col>7</xdr:col>
      <xdr:colOff>457200</xdr:colOff>
      <xdr:row>36</xdr:row>
      <xdr:rowOff>95250</xdr:rowOff>
    </xdr:to>
    <xdr:sp>
      <xdr:nvSpPr>
        <xdr:cNvPr id="286" name="Freeform 577"/>
        <xdr:cNvSpPr>
          <a:spLocks/>
        </xdr:cNvSpPr>
      </xdr:nvSpPr>
      <xdr:spPr>
        <a:xfrm>
          <a:off x="6248400" y="7077075"/>
          <a:ext cx="561975" cy="209550"/>
        </a:xfrm>
        <a:custGeom>
          <a:pathLst>
            <a:path h="22" w="56">
              <a:moveTo>
                <a:pt x="0" y="22"/>
              </a:moveTo>
              <a:cubicBezTo>
                <a:pt x="0" y="19"/>
                <a:pt x="0" y="16"/>
                <a:pt x="0" y="14"/>
              </a:cubicBezTo>
              <a:cubicBezTo>
                <a:pt x="0" y="12"/>
                <a:pt x="1" y="11"/>
                <a:pt x="1" y="10"/>
              </a:cubicBezTo>
              <a:cubicBezTo>
                <a:pt x="1" y="9"/>
                <a:pt x="1" y="8"/>
                <a:pt x="2" y="7"/>
              </a:cubicBezTo>
              <a:cubicBezTo>
                <a:pt x="3" y="6"/>
                <a:pt x="4" y="4"/>
                <a:pt x="6" y="3"/>
              </a:cubicBezTo>
              <a:cubicBezTo>
                <a:pt x="8" y="2"/>
                <a:pt x="12" y="0"/>
                <a:pt x="15" y="0"/>
              </a:cubicBezTo>
              <a:cubicBezTo>
                <a:pt x="18" y="0"/>
                <a:pt x="22" y="0"/>
                <a:pt x="25" y="0"/>
              </a:cubicBezTo>
              <a:cubicBezTo>
                <a:pt x="28" y="0"/>
                <a:pt x="31" y="0"/>
                <a:pt x="36" y="0"/>
              </a:cubicBezTo>
              <a:cubicBezTo>
                <a:pt x="41" y="0"/>
                <a:pt x="48" y="0"/>
                <a:pt x="56"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857250</xdr:colOff>
      <xdr:row>36</xdr:row>
      <xdr:rowOff>95250</xdr:rowOff>
    </xdr:from>
    <xdr:to>
      <xdr:col>6</xdr:col>
      <xdr:colOff>857250</xdr:colOff>
      <xdr:row>37</xdr:row>
      <xdr:rowOff>0</xdr:rowOff>
    </xdr:to>
    <xdr:sp>
      <xdr:nvSpPr>
        <xdr:cNvPr id="287" name="Line 578"/>
        <xdr:cNvSpPr>
          <a:spLocks/>
        </xdr:cNvSpPr>
      </xdr:nvSpPr>
      <xdr:spPr>
        <a:xfrm flipV="1">
          <a:off x="6248400" y="7286625"/>
          <a:ext cx="0" cy="152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33</xdr:row>
      <xdr:rowOff>133350</xdr:rowOff>
    </xdr:from>
    <xdr:to>
      <xdr:col>7</xdr:col>
      <xdr:colOff>209550</xdr:colOff>
      <xdr:row>35</xdr:row>
      <xdr:rowOff>9525</xdr:rowOff>
    </xdr:to>
    <xdr:sp>
      <xdr:nvSpPr>
        <xdr:cNvPr id="288" name="Freeform 581"/>
        <xdr:cNvSpPr>
          <a:spLocks/>
        </xdr:cNvSpPr>
      </xdr:nvSpPr>
      <xdr:spPr>
        <a:xfrm>
          <a:off x="6019800" y="6657975"/>
          <a:ext cx="542925" cy="304800"/>
        </a:xfrm>
        <a:custGeom>
          <a:pathLst>
            <a:path h="32" w="56">
              <a:moveTo>
                <a:pt x="0" y="32"/>
              </a:moveTo>
              <a:cubicBezTo>
                <a:pt x="0" y="28"/>
                <a:pt x="0" y="25"/>
                <a:pt x="0" y="22"/>
              </a:cubicBezTo>
              <a:cubicBezTo>
                <a:pt x="0" y="19"/>
                <a:pt x="2" y="15"/>
                <a:pt x="3" y="13"/>
              </a:cubicBezTo>
              <a:cubicBezTo>
                <a:pt x="4" y="11"/>
                <a:pt x="6" y="9"/>
                <a:pt x="8" y="7"/>
              </a:cubicBezTo>
              <a:cubicBezTo>
                <a:pt x="10" y="5"/>
                <a:pt x="13" y="3"/>
                <a:pt x="16" y="2"/>
              </a:cubicBezTo>
              <a:cubicBezTo>
                <a:pt x="19" y="1"/>
                <a:pt x="24" y="0"/>
                <a:pt x="28" y="0"/>
              </a:cubicBezTo>
              <a:cubicBezTo>
                <a:pt x="32" y="0"/>
                <a:pt x="36" y="0"/>
                <a:pt x="39" y="0"/>
              </a:cubicBezTo>
              <a:cubicBezTo>
                <a:pt x="42" y="0"/>
                <a:pt x="44" y="0"/>
                <a:pt x="47" y="0"/>
              </a:cubicBezTo>
              <a:cubicBezTo>
                <a:pt x="50" y="0"/>
                <a:pt x="53" y="0"/>
                <a:pt x="56"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32</xdr:row>
      <xdr:rowOff>76200</xdr:rowOff>
    </xdr:from>
    <xdr:to>
      <xdr:col>8</xdr:col>
      <xdr:colOff>352425</xdr:colOff>
      <xdr:row>33</xdr:row>
      <xdr:rowOff>47625</xdr:rowOff>
    </xdr:to>
    <xdr:sp>
      <xdr:nvSpPr>
        <xdr:cNvPr id="289" name="Rectangle 582"/>
        <xdr:cNvSpPr>
          <a:spLocks/>
        </xdr:cNvSpPr>
      </xdr:nvSpPr>
      <xdr:spPr>
        <a:xfrm>
          <a:off x="6581775" y="6362700"/>
          <a:ext cx="1162050"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Hydraulic Jump</a:t>
          </a:r>
        </a:p>
      </xdr:txBody>
    </xdr:sp>
    <xdr:clientData/>
  </xdr:twoCellAnchor>
  <xdr:twoCellAnchor>
    <xdr:from>
      <xdr:col>2</xdr:col>
      <xdr:colOff>495300</xdr:colOff>
      <xdr:row>17</xdr:row>
      <xdr:rowOff>0</xdr:rowOff>
    </xdr:from>
    <xdr:to>
      <xdr:col>3</xdr:col>
      <xdr:colOff>552450</xdr:colOff>
      <xdr:row>18</xdr:row>
      <xdr:rowOff>9525</xdr:rowOff>
    </xdr:to>
    <xdr:sp>
      <xdr:nvSpPr>
        <xdr:cNvPr id="290" name="Text Box 583"/>
        <xdr:cNvSpPr txBox="1">
          <a:spLocks noChangeArrowheads="1"/>
        </xdr:cNvSpPr>
      </xdr:nvSpPr>
      <xdr:spPr>
        <a:xfrm>
          <a:off x="2038350" y="3076575"/>
          <a:ext cx="10191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 ------- Outlet =</a:t>
          </a:r>
        </a:p>
      </xdr:txBody>
    </xdr:sp>
    <xdr:clientData/>
  </xdr:twoCellAnchor>
  <xdr:twoCellAnchor>
    <xdr:from>
      <xdr:col>3</xdr:col>
      <xdr:colOff>933450</xdr:colOff>
      <xdr:row>16</xdr:row>
      <xdr:rowOff>104775</xdr:rowOff>
    </xdr:from>
    <xdr:to>
      <xdr:col>5</xdr:col>
      <xdr:colOff>85725</xdr:colOff>
      <xdr:row>18</xdr:row>
      <xdr:rowOff>57150</xdr:rowOff>
    </xdr:to>
    <xdr:sp>
      <xdr:nvSpPr>
        <xdr:cNvPr id="291" name="Text Box 584"/>
        <xdr:cNvSpPr txBox="1">
          <a:spLocks noChangeArrowheads="1"/>
        </xdr:cNvSpPr>
      </xdr:nvSpPr>
      <xdr:spPr>
        <a:xfrm>
          <a:off x="3438525" y="3028950"/>
          <a:ext cx="1076325" cy="295275"/>
        </a:xfrm>
        <a:prstGeom prst="rect">
          <a:avLst/>
        </a:prstGeom>
        <a:noFill/>
        <a:ln w="12700" cmpd="sng">
          <a:noFill/>
        </a:ln>
      </xdr:spPr>
      <xdr:txBody>
        <a:bodyPr vertOverflow="clip" wrap="square" lIns="36576" tIns="22860" rIns="0" bIns="22860" anchor="ctr"/>
        <a:p>
          <a:pPr algn="l">
            <a:defRPr/>
          </a:pPr>
          <a:r>
            <a:rPr lang="en-US" cap="none" sz="1200" b="0" i="0" u="none" baseline="0">
              <a:solidFill>
                <a:srgbClr val="000000"/>
              </a:solidFill>
              <a:latin typeface="Arial"/>
              <a:ea typeface="Arial"/>
              <a:cs typeface="Arial"/>
            </a:rPr>
            <a:t>ft. --- </a:t>
          </a:r>
          <a:r>
            <a:rPr lang="en-US" cap="none" sz="1200" b="0" i="0" u="none" baseline="0">
              <a:solidFill>
                <a:srgbClr val="FF00FF"/>
              </a:solidFill>
              <a:latin typeface="Arial"/>
              <a:ea typeface="Arial"/>
              <a:cs typeface="Arial"/>
            </a:rPr>
            <a:t>(H</a:t>
          </a:r>
          <a:r>
            <a:rPr lang="en-US" cap="none" sz="1200" b="0" i="0" u="none" baseline="-25000">
              <a:solidFill>
                <a:srgbClr val="FF00FF"/>
              </a:solidFill>
              <a:latin typeface="Arial"/>
              <a:ea typeface="Arial"/>
              <a:cs typeface="Arial"/>
            </a:rPr>
            <a:t>drop</a:t>
          </a:r>
          <a:r>
            <a:rPr lang="en-US" cap="none" sz="1200" b="0" i="0" u="none" baseline="0">
              <a:solidFill>
                <a:srgbClr val="FF00FF"/>
              </a:solidFill>
              <a:latin typeface="Arial"/>
              <a:ea typeface="Arial"/>
              <a:cs typeface="Arial"/>
            </a:rPr>
            <a:t> =</a:t>
          </a:r>
        </a:p>
      </xdr:txBody>
    </xdr:sp>
    <xdr:clientData/>
  </xdr:twoCellAnchor>
  <xdr:twoCellAnchor>
    <xdr:from>
      <xdr:col>3</xdr:col>
      <xdr:colOff>590550</xdr:colOff>
      <xdr:row>35</xdr:row>
      <xdr:rowOff>76200</xdr:rowOff>
    </xdr:from>
    <xdr:to>
      <xdr:col>4</xdr:col>
      <xdr:colOff>133350</xdr:colOff>
      <xdr:row>36</xdr:row>
      <xdr:rowOff>38100</xdr:rowOff>
    </xdr:to>
    <xdr:sp>
      <xdr:nvSpPr>
        <xdr:cNvPr id="292" name="Freeform 587"/>
        <xdr:cNvSpPr>
          <a:spLocks/>
        </xdr:cNvSpPr>
      </xdr:nvSpPr>
      <xdr:spPr>
        <a:xfrm>
          <a:off x="3095625" y="7029450"/>
          <a:ext cx="504825" cy="200025"/>
        </a:xfrm>
        <a:custGeom>
          <a:pathLst>
            <a:path h="23" w="56">
              <a:moveTo>
                <a:pt x="0" y="0"/>
              </a:moveTo>
              <a:cubicBezTo>
                <a:pt x="4" y="0"/>
                <a:pt x="8" y="0"/>
                <a:pt x="11" y="0"/>
              </a:cubicBezTo>
              <a:cubicBezTo>
                <a:pt x="14" y="0"/>
                <a:pt x="17" y="1"/>
                <a:pt x="20" y="2"/>
              </a:cubicBezTo>
              <a:cubicBezTo>
                <a:pt x="23" y="3"/>
                <a:pt x="26" y="4"/>
                <a:pt x="28" y="5"/>
              </a:cubicBezTo>
              <a:cubicBezTo>
                <a:pt x="30" y="6"/>
                <a:pt x="31" y="6"/>
                <a:pt x="33" y="7"/>
              </a:cubicBezTo>
              <a:cubicBezTo>
                <a:pt x="35" y="8"/>
                <a:pt x="35" y="7"/>
                <a:pt x="38" y="9"/>
              </a:cubicBezTo>
              <a:cubicBezTo>
                <a:pt x="41" y="11"/>
                <a:pt x="47" y="17"/>
                <a:pt x="50" y="19"/>
              </a:cubicBezTo>
              <a:cubicBezTo>
                <a:pt x="53" y="21"/>
                <a:pt x="54" y="22"/>
                <a:pt x="56" y="23"/>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36</xdr:row>
      <xdr:rowOff>28575</xdr:rowOff>
    </xdr:from>
    <xdr:to>
      <xdr:col>5</xdr:col>
      <xdr:colOff>114300</xdr:colOff>
      <xdr:row>39</xdr:row>
      <xdr:rowOff>133350</xdr:rowOff>
    </xdr:to>
    <xdr:sp>
      <xdr:nvSpPr>
        <xdr:cNvPr id="293" name="Line 588"/>
        <xdr:cNvSpPr>
          <a:spLocks/>
        </xdr:cNvSpPr>
      </xdr:nvSpPr>
      <xdr:spPr>
        <a:xfrm>
          <a:off x="3581400" y="7219950"/>
          <a:ext cx="962025" cy="7334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42</xdr:row>
      <xdr:rowOff>66675</xdr:rowOff>
    </xdr:from>
    <xdr:to>
      <xdr:col>6</xdr:col>
      <xdr:colOff>314325</xdr:colOff>
      <xdr:row>42</xdr:row>
      <xdr:rowOff>66675</xdr:rowOff>
    </xdr:to>
    <xdr:sp>
      <xdr:nvSpPr>
        <xdr:cNvPr id="294" name="Line 589"/>
        <xdr:cNvSpPr>
          <a:spLocks/>
        </xdr:cNvSpPr>
      </xdr:nvSpPr>
      <xdr:spPr>
        <a:xfrm>
          <a:off x="5210175" y="8467725"/>
          <a:ext cx="495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42</xdr:row>
      <xdr:rowOff>85725</xdr:rowOff>
    </xdr:from>
    <xdr:to>
      <xdr:col>7</xdr:col>
      <xdr:colOff>85725</xdr:colOff>
      <xdr:row>42</xdr:row>
      <xdr:rowOff>85725</xdr:rowOff>
    </xdr:to>
    <xdr:sp>
      <xdr:nvSpPr>
        <xdr:cNvPr id="295" name="Line 590"/>
        <xdr:cNvSpPr>
          <a:spLocks/>
        </xdr:cNvSpPr>
      </xdr:nvSpPr>
      <xdr:spPr>
        <a:xfrm>
          <a:off x="6105525" y="8486775"/>
          <a:ext cx="33337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41</xdr:row>
      <xdr:rowOff>142875</xdr:rowOff>
    </xdr:from>
    <xdr:to>
      <xdr:col>7</xdr:col>
      <xdr:colOff>304800</xdr:colOff>
      <xdr:row>42</xdr:row>
      <xdr:rowOff>85725</xdr:rowOff>
    </xdr:to>
    <xdr:sp>
      <xdr:nvSpPr>
        <xdr:cNvPr id="296" name="Line 591"/>
        <xdr:cNvSpPr>
          <a:spLocks/>
        </xdr:cNvSpPr>
      </xdr:nvSpPr>
      <xdr:spPr>
        <a:xfrm flipV="1">
          <a:off x="6438900" y="8343900"/>
          <a:ext cx="219075" cy="1428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41</xdr:row>
      <xdr:rowOff>57150</xdr:rowOff>
    </xdr:from>
    <xdr:to>
      <xdr:col>7</xdr:col>
      <xdr:colOff>304800</xdr:colOff>
      <xdr:row>41</xdr:row>
      <xdr:rowOff>142875</xdr:rowOff>
    </xdr:to>
    <xdr:sp>
      <xdr:nvSpPr>
        <xdr:cNvPr id="297" name="Line 592"/>
        <xdr:cNvSpPr>
          <a:spLocks/>
        </xdr:cNvSpPr>
      </xdr:nvSpPr>
      <xdr:spPr>
        <a:xfrm>
          <a:off x="6657975" y="8258175"/>
          <a:ext cx="0" cy="857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35</xdr:row>
      <xdr:rowOff>57150</xdr:rowOff>
    </xdr:from>
    <xdr:to>
      <xdr:col>2</xdr:col>
      <xdr:colOff>752475</xdr:colOff>
      <xdr:row>35</xdr:row>
      <xdr:rowOff>57150</xdr:rowOff>
    </xdr:to>
    <xdr:sp>
      <xdr:nvSpPr>
        <xdr:cNvPr id="298" name="Line 593"/>
        <xdr:cNvSpPr>
          <a:spLocks/>
        </xdr:cNvSpPr>
      </xdr:nvSpPr>
      <xdr:spPr>
        <a:xfrm flipH="1">
          <a:off x="2038350" y="7010400"/>
          <a:ext cx="25717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35</xdr:row>
      <xdr:rowOff>0</xdr:rowOff>
    </xdr:from>
    <xdr:to>
      <xdr:col>2</xdr:col>
      <xdr:colOff>495300</xdr:colOff>
      <xdr:row>35</xdr:row>
      <xdr:rowOff>66675</xdr:rowOff>
    </xdr:to>
    <xdr:sp>
      <xdr:nvSpPr>
        <xdr:cNvPr id="299" name="Line 594"/>
        <xdr:cNvSpPr>
          <a:spLocks/>
        </xdr:cNvSpPr>
      </xdr:nvSpPr>
      <xdr:spPr>
        <a:xfrm>
          <a:off x="2038350" y="6953250"/>
          <a:ext cx="0" cy="666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51</xdr:row>
      <xdr:rowOff>104775</xdr:rowOff>
    </xdr:from>
    <xdr:to>
      <xdr:col>1</xdr:col>
      <xdr:colOff>542925</xdr:colOff>
      <xdr:row>52</xdr:row>
      <xdr:rowOff>219075</xdr:rowOff>
    </xdr:to>
    <xdr:sp>
      <xdr:nvSpPr>
        <xdr:cNvPr id="300" name="Line 595"/>
        <xdr:cNvSpPr>
          <a:spLocks/>
        </xdr:cNvSpPr>
      </xdr:nvSpPr>
      <xdr:spPr>
        <a:xfrm>
          <a:off x="971550" y="10467975"/>
          <a:ext cx="152400" cy="30480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54</xdr:row>
      <xdr:rowOff>180975</xdr:rowOff>
    </xdr:from>
    <xdr:to>
      <xdr:col>1</xdr:col>
      <xdr:colOff>866775</xdr:colOff>
      <xdr:row>55</xdr:row>
      <xdr:rowOff>104775</xdr:rowOff>
    </xdr:to>
    <xdr:sp>
      <xdr:nvSpPr>
        <xdr:cNvPr id="301" name="Line 596"/>
        <xdr:cNvSpPr>
          <a:spLocks/>
        </xdr:cNvSpPr>
      </xdr:nvSpPr>
      <xdr:spPr>
        <a:xfrm>
          <a:off x="1362075" y="11229975"/>
          <a:ext cx="85725" cy="11430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55</xdr:row>
      <xdr:rowOff>104775</xdr:rowOff>
    </xdr:from>
    <xdr:to>
      <xdr:col>2</xdr:col>
      <xdr:colOff>266700</xdr:colOff>
      <xdr:row>55</xdr:row>
      <xdr:rowOff>104775</xdr:rowOff>
    </xdr:to>
    <xdr:sp>
      <xdr:nvSpPr>
        <xdr:cNvPr id="302" name="Line 597"/>
        <xdr:cNvSpPr>
          <a:spLocks/>
        </xdr:cNvSpPr>
      </xdr:nvSpPr>
      <xdr:spPr>
        <a:xfrm>
          <a:off x="1447800" y="11344275"/>
          <a:ext cx="3619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55</xdr:row>
      <xdr:rowOff>104775</xdr:rowOff>
    </xdr:from>
    <xdr:to>
      <xdr:col>3</xdr:col>
      <xdr:colOff>114300</xdr:colOff>
      <xdr:row>55</xdr:row>
      <xdr:rowOff>104775</xdr:rowOff>
    </xdr:to>
    <xdr:sp>
      <xdr:nvSpPr>
        <xdr:cNvPr id="303" name="Line 598"/>
        <xdr:cNvSpPr>
          <a:spLocks/>
        </xdr:cNvSpPr>
      </xdr:nvSpPr>
      <xdr:spPr>
        <a:xfrm>
          <a:off x="2200275" y="11344275"/>
          <a:ext cx="4191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51</xdr:row>
      <xdr:rowOff>104775</xdr:rowOff>
    </xdr:from>
    <xdr:to>
      <xdr:col>3</xdr:col>
      <xdr:colOff>628650</xdr:colOff>
      <xdr:row>55</xdr:row>
      <xdr:rowOff>95250</xdr:rowOff>
    </xdr:to>
    <xdr:sp>
      <xdr:nvSpPr>
        <xdr:cNvPr id="304" name="Line 599"/>
        <xdr:cNvSpPr>
          <a:spLocks/>
        </xdr:cNvSpPr>
      </xdr:nvSpPr>
      <xdr:spPr>
        <a:xfrm flipV="1">
          <a:off x="2619375" y="10467975"/>
          <a:ext cx="514350" cy="8667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51</xdr:row>
      <xdr:rowOff>104775</xdr:rowOff>
    </xdr:from>
    <xdr:to>
      <xdr:col>3</xdr:col>
      <xdr:colOff>638175</xdr:colOff>
      <xdr:row>51</xdr:row>
      <xdr:rowOff>104775</xdr:rowOff>
    </xdr:to>
    <xdr:sp>
      <xdr:nvSpPr>
        <xdr:cNvPr id="305" name="Line 600"/>
        <xdr:cNvSpPr>
          <a:spLocks/>
        </xdr:cNvSpPr>
      </xdr:nvSpPr>
      <xdr:spPr>
        <a:xfrm>
          <a:off x="3048000" y="10467975"/>
          <a:ext cx="952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51</xdr:row>
      <xdr:rowOff>104775</xdr:rowOff>
    </xdr:from>
    <xdr:to>
      <xdr:col>1</xdr:col>
      <xdr:colOff>476250</xdr:colOff>
      <xdr:row>51</xdr:row>
      <xdr:rowOff>104775</xdr:rowOff>
    </xdr:to>
    <xdr:sp>
      <xdr:nvSpPr>
        <xdr:cNvPr id="306" name="Line 601"/>
        <xdr:cNvSpPr>
          <a:spLocks/>
        </xdr:cNvSpPr>
      </xdr:nvSpPr>
      <xdr:spPr>
        <a:xfrm flipH="1">
          <a:off x="981075" y="10467975"/>
          <a:ext cx="762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53</xdr:row>
      <xdr:rowOff>9525</xdr:rowOff>
    </xdr:from>
    <xdr:to>
      <xdr:col>3</xdr:col>
      <xdr:colOff>942975</xdr:colOff>
      <xdr:row>53</xdr:row>
      <xdr:rowOff>228600</xdr:rowOff>
    </xdr:to>
    <xdr:sp>
      <xdr:nvSpPr>
        <xdr:cNvPr id="307" name="Line 602"/>
        <xdr:cNvSpPr>
          <a:spLocks/>
        </xdr:cNvSpPr>
      </xdr:nvSpPr>
      <xdr:spPr>
        <a:xfrm>
          <a:off x="2933700" y="10810875"/>
          <a:ext cx="514350" cy="21907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53</xdr:row>
      <xdr:rowOff>47625</xdr:rowOff>
    </xdr:from>
    <xdr:to>
      <xdr:col>5</xdr:col>
      <xdr:colOff>0</xdr:colOff>
      <xdr:row>55</xdr:row>
      <xdr:rowOff>19050</xdr:rowOff>
    </xdr:to>
    <xdr:sp>
      <xdr:nvSpPr>
        <xdr:cNvPr id="308" name="Text Box 603"/>
        <xdr:cNvSpPr txBox="1">
          <a:spLocks noChangeArrowheads="1"/>
        </xdr:cNvSpPr>
      </xdr:nvSpPr>
      <xdr:spPr>
        <a:xfrm>
          <a:off x="3476625" y="10848975"/>
          <a:ext cx="952500" cy="4095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Rock Chute
</a:t>
          </a:r>
          <a:r>
            <a:rPr lang="en-US" cap="none" sz="1100" b="0" i="0" u="none" baseline="0">
              <a:solidFill>
                <a:srgbClr val="000000"/>
              </a:solidFill>
              <a:latin typeface="Arial"/>
              <a:ea typeface="Arial"/>
              <a:cs typeface="Arial"/>
            </a:rPr>
            <a:t>Bedding</a:t>
          </a:r>
        </a:p>
      </xdr:txBody>
    </xdr:sp>
    <xdr:clientData/>
  </xdr:twoCellAnchor>
  <xdr:twoCellAnchor>
    <xdr:from>
      <xdr:col>5</xdr:col>
      <xdr:colOff>466725</xdr:colOff>
      <xdr:row>41</xdr:row>
      <xdr:rowOff>28575</xdr:rowOff>
    </xdr:from>
    <xdr:to>
      <xdr:col>5</xdr:col>
      <xdr:colOff>781050</xdr:colOff>
      <xdr:row>42</xdr:row>
      <xdr:rowOff>66675</xdr:rowOff>
    </xdr:to>
    <xdr:sp>
      <xdr:nvSpPr>
        <xdr:cNvPr id="309" name="Line 604"/>
        <xdr:cNvSpPr>
          <a:spLocks/>
        </xdr:cNvSpPr>
      </xdr:nvSpPr>
      <xdr:spPr>
        <a:xfrm flipH="1" flipV="1">
          <a:off x="4895850" y="8229600"/>
          <a:ext cx="314325" cy="2381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43</xdr:row>
      <xdr:rowOff>47625</xdr:rowOff>
    </xdr:from>
    <xdr:to>
      <xdr:col>6</xdr:col>
      <xdr:colOff>57150</xdr:colOff>
      <xdr:row>45</xdr:row>
      <xdr:rowOff>28575</xdr:rowOff>
    </xdr:to>
    <xdr:sp>
      <xdr:nvSpPr>
        <xdr:cNvPr id="310" name="Text Box 605"/>
        <xdr:cNvSpPr txBox="1">
          <a:spLocks noChangeArrowheads="1"/>
        </xdr:cNvSpPr>
      </xdr:nvSpPr>
      <xdr:spPr>
        <a:xfrm>
          <a:off x="4495800" y="8658225"/>
          <a:ext cx="952500" cy="4095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Rock Chute
</a:t>
          </a:r>
          <a:r>
            <a:rPr lang="en-US" cap="none" sz="1100" b="0" i="0" u="none" baseline="0">
              <a:solidFill>
                <a:srgbClr val="000000"/>
              </a:solidFill>
              <a:latin typeface="Arial"/>
              <a:ea typeface="Arial"/>
              <a:cs typeface="Arial"/>
            </a:rPr>
            <a:t>Bedding</a:t>
          </a:r>
        </a:p>
      </xdr:txBody>
    </xdr:sp>
    <xdr:clientData/>
  </xdr:twoCellAnchor>
  <xdr:twoCellAnchor>
    <xdr:from>
      <xdr:col>5</xdr:col>
      <xdr:colOff>466725</xdr:colOff>
      <xdr:row>41</xdr:row>
      <xdr:rowOff>180975</xdr:rowOff>
    </xdr:from>
    <xdr:to>
      <xdr:col>5</xdr:col>
      <xdr:colOff>647700</xdr:colOff>
      <xdr:row>43</xdr:row>
      <xdr:rowOff>76200</xdr:rowOff>
    </xdr:to>
    <xdr:sp>
      <xdr:nvSpPr>
        <xdr:cNvPr id="311" name="Line 606"/>
        <xdr:cNvSpPr>
          <a:spLocks/>
        </xdr:cNvSpPr>
      </xdr:nvSpPr>
      <xdr:spPr>
        <a:xfrm flipV="1">
          <a:off x="4895850" y="8382000"/>
          <a:ext cx="180975" cy="3048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52</xdr:row>
      <xdr:rowOff>76200</xdr:rowOff>
    </xdr:from>
    <xdr:to>
      <xdr:col>3</xdr:col>
      <xdr:colOff>781050</xdr:colOff>
      <xdr:row>52</xdr:row>
      <xdr:rowOff>104775</xdr:rowOff>
    </xdr:to>
    <xdr:sp>
      <xdr:nvSpPr>
        <xdr:cNvPr id="312" name="Freeform 607"/>
        <xdr:cNvSpPr>
          <a:spLocks/>
        </xdr:cNvSpPr>
      </xdr:nvSpPr>
      <xdr:spPr>
        <a:xfrm>
          <a:off x="3143250" y="10629900"/>
          <a:ext cx="142875" cy="28575"/>
        </a:xfrm>
        <a:custGeom>
          <a:pathLst>
            <a:path h="3" w="15">
              <a:moveTo>
                <a:pt x="0" y="1"/>
              </a:moveTo>
              <a:cubicBezTo>
                <a:pt x="1" y="2"/>
                <a:pt x="3" y="3"/>
                <a:pt x="5" y="3"/>
              </a:cubicBezTo>
              <a:cubicBezTo>
                <a:pt x="7" y="3"/>
                <a:pt x="9" y="3"/>
                <a:pt x="11" y="2"/>
              </a:cubicBezTo>
              <a:cubicBezTo>
                <a:pt x="13" y="1"/>
                <a:pt x="14" y="0"/>
                <a:pt x="15"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11</xdr:row>
      <xdr:rowOff>95250</xdr:rowOff>
    </xdr:from>
    <xdr:to>
      <xdr:col>6</xdr:col>
      <xdr:colOff>0</xdr:colOff>
      <xdr:row>11</xdr:row>
      <xdr:rowOff>95250</xdr:rowOff>
    </xdr:to>
    <xdr:sp>
      <xdr:nvSpPr>
        <xdr:cNvPr id="313" name="Line 637"/>
        <xdr:cNvSpPr>
          <a:spLocks/>
        </xdr:cNvSpPr>
      </xdr:nvSpPr>
      <xdr:spPr>
        <a:xfrm>
          <a:off x="5181600" y="2076450"/>
          <a:ext cx="209550"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12</xdr:row>
      <xdr:rowOff>95250</xdr:rowOff>
    </xdr:from>
    <xdr:to>
      <xdr:col>6</xdr:col>
      <xdr:colOff>0</xdr:colOff>
      <xdr:row>12</xdr:row>
      <xdr:rowOff>95250</xdr:rowOff>
    </xdr:to>
    <xdr:sp>
      <xdr:nvSpPr>
        <xdr:cNvPr id="314" name="Line 638"/>
        <xdr:cNvSpPr>
          <a:spLocks/>
        </xdr:cNvSpPr>
      </xdr:nvSpPr>
      <xdr:spPr>
        <a:xfrm>
          <a:off x="5248275" y="2266950"/>
          <a:ext cx="14287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13</xdr:row>
      <xdr:rowOff>95250</xdr:rowOff>
    </xdr:from>
    <xdr:to>
      <xdr:col>6</xdr:col>
      <xdr:colOff>0</xdr:colOff>
      <xdr:row>13</xdr:row>
      <xdr:rowOff>104775</xdr:rowOff>
    </xdr:to>
    <xdr:sp>
      <xdr:nvSpPr>
        <xdr:cNvPr id="315" name="Line 640"/>
        <xdr:cNvSpPr>
          <a:spLocks/>
        </xdr:cNvSpPr>
      </xdr:nvSpPr>
      <xdr:spPr>
        <a:xfrm flipV="1">
          <a:off x="4914900" y="2466975"/>
          <a:ext cx="476250" cy="95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150</xdr:row>
      <xdr:rowOff>0</xdr:rowOff>
    </xdr:from>
    <xdr:to>
      <xdr:col>1</xdr:col>
      <xdr:colOff>952500</xdr:colOff>
      <xdr:row>150</xdr:row>
      <xdr:rowOff>0</xdr:rowOff>
    </xdr:to>
    <xdr:sp>
      <xdr:nvSpPr>
        <xdr:cNvPr id="316" name="Line 641"/>
        <xdr:cNvSpPr>
          <a:spLocks/>
        </xdr:cNvSpPr>
      </xdr:nvSpPr>
      <xdr:spPr>
        <a:xfrm>
          <a:off x="1533525" y="12258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46</xdr:row>
      <xdr:rowOff>85725</xdr:rowOff>
    </xdr:from>
    <xdr:to>
      <xdr:col>2</xdr:col>
      <xdr:colOff>409575</xdr:colOff>
      <xdr:row>46</xdr:row>
      <xdr:rowOff>85725</xdr:rowOff>
    </xdr:to>
    <xdr:sp>
      <xdr:nvSpPr>
        <xdr:cNvPr id="317" name="Line 642"/>
        <xdr:cNvSpPr>
          <a:spLocks/>
        </xdr:cNvSpPr>
      </xdr:nvSpPr>
      <xdr:spPr>
        <a:xfrm>
          <a:off x="561975" y="9363075"/>
          <a:ext cx="13906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55</xdr:row>
      <xdr:rowOff>85725</xdr:rowOff>
    </xdr:from>
    <xdr:to>
      <xdr:col>1</xdr:col>
      <xdr:colOff>885825</xdr:colOff>
      <xdr:row>57</xdr:row>
      <xdr:rowOff>104775</xdr:rowOff>
    </xdr:to>
    <xdr:sp>
      <xdr:nvSpPr>
        <xdr:cNvPr id="318" name="Line 644"/>
        <xdr:cNvSpPr>
          <a:spLocks/>
        </xdr:cNvSpPr>
      </xdr:nvSpPr>
      <xdr:spPr>
        <a:xfrm>
          <a:off x="1466850" y="11325225"/>
          <a:ext cx="0" cy="45720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45</xdr:row>
      <xdr:rowOff>228600</xdr:rowOff>
    </xdr:from>
    <xdr:to>
      <xdr:col>1</xdr:col>
      <xdr:colOff>466725</xdr:colOff>
      <xdr:row>46</xdr:row>
      <xdr:rowOff>76200</xdr:rowOff>
    </xdr:to>
    <xdr:sp>
      <xdr:nvSpPr>
        <xdr:cNvPr id="319" name="Line 646"/>
        <xdr:cNvSpPr>
          <a:spLocks/>
        </xdr:cNvSpPr>
      </xdr:nvSpPr>
      <xdr:spPr>
        <a:xfrm>
          <a:off x="1047750" y="9267825"/>
          <a:ext cx="0" cy="857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46</xdr:row>
      <xdr:rowOff>95250</xdr:rowOff>
    </xdr:from>
    <xdr:to>
      <xdr:col>1</xdr:col>
      <xdr:colOff>466725</xdr:colOff>
      <xdr:row>48</xdr:row>
      <xdr:rowOff>304800</xdr:rowOff>
    </xdr:to>
    <xdr:sp>
      <xdr:nvSpPr>
        <xdr:cNvPr id="320" name="Line 647"/>
        <xdr:cNvSpPr>
          <a:spLocks/>
        </xdr:cNvSpPr>
      </xdr:nvSpPr>
      <xdr:spPr>
        <a:xfrm>
          <a:off x="1047750" y="9372600"/>
          <a:ext cx="0" cy="47625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54</xdr:row>
      <xdr:rowOff>142875</xdr:rowOff>
    </xdr:from>
    <xdr:to>
      <xdr:col>1</xdr:col>
      <xdr:colOff>923925</xdr:colOff>
      <xdr:row>57</xdr:row>
      <xdr:rowOff>114300</xdr:rowOff>
    </xdr:to>
    <xdr:sp>
      <xdr:nvSpPr>
        <xdr:cNvPr id="321" name="Freeform 648"/>
        <xdr:cNvSpPr>
          <a:spLocks/>
        </xdr:cNvSpPr>
      </xdr:nvSpPr>
      <xdr:spPr>
        <a:xfrm>
          <a:off x="1495425" y="11191875"/>
          <a:ext cx="9525" cy="600075"/>
        </a:xfrm>
        <a:custGeom>
          <a:pathLst>
            <a:path h="63" w="1">
              <a:moveTo>
                <a:pt x="0" y="0"/>
              </a:moveTo>
              <a:lnTo>
                <a:pt x="0" y="63"/>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54</xdr:row>
      <xdr:rowOff>142875</xdr:rowOff>
    </xdr:from>
    <xdr:to>
      <xdr:col>3</xdr:col>
      <xdr:colOff>104775</xdr:colOff>
      <xdr:row>57</xdr:row>
      <xdr:rowOff>114300</xdr:rowOff>
    </xdr:to>
    <xdr:sp>
      <xdr:nvSpPr>
        <xdr:cNvPr id="322" name="Freeform 649"/>
        <xdr:cNvSpPr>
          <a:spLocks/>
        </xdr:cNvSpPr>
      </xdr:nvSpPr>
      <xdr:spPr>
        <a:xfrm>
          <a:off x="2600325" y="11191875"/>
          <a:ext cx="9525" cy="600075"/>
        </a:xfrm>
        <a:custGeom>
          <a:pathLst>
            <a:path h="63" w="1">
              <a:moveTo>
                <a:pt x="0" y="0"/>
              </a:moveTo>
              <a:lnTo>
                <a:pt x="0" y="63"/>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56</xdr:row>
      <xdr:rowOff>152400</xdr:rowOff>
    </xdr:from>
    <xdr:to>
      <xdr:col>3</xdr:col>
      <xdr:colOff>95250</xdr:colOff>
      <xdr:row>56</xdr:row>
      <xdr:rowOff>161925</xdr:rowOff>
    </xdr:to>
    <xdr:sp>
      <xdr:nvSpPr>
        <xdr:cNvPr id="323" name="Freeform 651"/>
        <xdr:cNvSpPr>
          <a:spLocks/>
        </xdr:cNvSpPr>
      </xdr:nvSpPr>
      <xdr:spPr>
        <a:xfrm>
          <a:off x="1495425" y="11639550"/>
          <a:ext cx="1104900" cy="9525"/>
        </a:xfrm>
        <a:custGeom>
          <a:pathLst>
            <a:path h="1" w="116">
              <a:moveTo>
                <a:pt x="0" y="0"/>
              </a:moveTo>
              <a:lnTo>
                <a:pt x="116" y="0"/>
              </a:lnTo>
            </a:path>
          </a:pathLst>
        </a:cu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28</xdr:row>
      <xdr:rowOff>161925</xdr:rowOff>
    </xdr:from>
    <xdr:to>
      <xdr:col>7</xdr:col>
      <xdr:colOff>57150</xdr:colOff>
      <xdr:row>28</xdr:row>
      <xdr:rowOff>161925</xdr:rowOff>
    </xdr:to>
    <xdr:sp>
      <xdr:nvSpPr>
        <xdr:cNvPr id="1" name="Line 594"/>
        <xdr:cNvSpPr>
          <a:spLocks/>
        </xdr:cNvSpPr>
      </xdr:nvSpPr>
      <xdr:spPr>
        <a:xfrm>
          <a:off x="5724525" y="6238875"/>
          <a:ext cx="1028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27</xdr:row>
      <xdr:rowOff>161925</xdr:rowOff>
    </xdr:from>
    <xdr:to>
      <xdr:col>7</xdr:col>
      <xdr:colOff>285750</xdr:colOff>
      <xdr:row>28</xdr:row>
      <xdr:rowOff>161925</xdr:rowOff>
    </xdr:to>
    <xdr:sp>
      <xdr:nvSpPr>
        <xdr:cNvPr id="2" name="Line 595"/>
        <xdr:cNvSpPr>
          <a:spLocks/>
        </xdr:cNvSpPr>
      </xdr:nvSpPr>
      <xdr:spPr>
        <a:xfrm flipV="1">
          <a:off x="6753225" y="6057900"/>
          <a:ext cx="22860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27</xdr:row>
      <xdr:rowOff>161925</xdr:rowOff>
    </xdr:from>
    <xdr:to>
      <xdr:col>7</xdr:col>
      <xdr:colOff>285750</xdr:colOff>
      <xdr:row>27</xdr:row>
      <xdr:rowOff>161925</xdr:rowOff>
    </xdr:to>
    <xdr:sp>
      <xdr:nvSpPr>
        <xdr:cNvPr id="3" name="Line 596"/>
        <xdr:cNvSpPr>
          <a:spLocks/>
        </xdr:cNvSpPr>
      </xdr:nvSpPr>
      <xdr:spPr>
        <a:xfrm>
          <a:off x="6981825" y="605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27</xdr:row>
      <xdr:rowOff>161925</xdr:rowOff>
    </xdr:from>
    <xdr:to>
      <xdr:col>9</xdr:col>
      <xdr:colOff>323850</xdr:colOff>
      <xdr:row>28</xdr:row>
      <xdr:rowOff>28575</xdr:rowOff>
    </xdr:to>
    <xdr:sp>
      <xdr:nvSpPr>
        <xdr:cNvPr id="4" name="Line 597"/>
        <xdr:cNvSpPr>
          <a:spLocks/>
        </xdr:cNvSpPr>
      </xdr:nvSpPr>
      <xdr:spPr>
        <a:xfrm>
          <a:off x="6981825" y="6057900"/>
          <a:ext cx="1962150" cy="47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21</xdr:row>
      <xdr:rowOff>142875</xdr:rowOff>
    </xdr:from>
    <xdr:to>
      <xdr:col>5</xdr:col>
      <xdr:colOff>952500</xdr:colOff>
      <xdr:row>28</xdr:row>
      <xdr:rowOff>161925</xdr:rowOff>
    </xdr:to>
    <xdr:sp>
      <xdr:nvSpPr>
        <xdr:cNvPr id="5" name="Line 598"/>
        <xdr:cNvSpPr>
          <a:spLocks/>
        </xdr:cNvSpPr>
      </xdr:nvSpPr>
      <xdr:spPr>
        <a:xfrm flipH="1" flipV="1">
          <a:off x="3924300" y="4848225"/>
          <a:ext cx="1800225" cy="1390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21</xdr:row>
      <xdr:rowOff>0</xdr:rowOff>
    </xdr:from>
    <xdr:to>
      <xdr:col>3</xdr:col>
      <xdr:colOff>628650</xdr:colOff>
      <xdr:row>21</xdr:row>
      <xdr:rowOff>0</xdr:rowOff>
    </xdr:to>
    <xdr:sp>
      <xdr:nvSpPr>
        <xdr:cNvPr id="6" name="Line 599"/>
        <xdr:cNvSpPr>
          <a:spLocks/>
        </xdr:cNvSpPr>
      </xdr:nvSpPr>
      <xdr:spPr>
        <a:xfrm flipH="1">
          <a:off x="2286000" y="4705350"/>
          <a:ext cx="1114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20</xdr:row>
      <xdr:rowOff>28575</xdr:rowOff>
    </xdr:from>
    <xdr:to>
      <xdr:col>2</xdr:col>
      <xdr:colOff>476250</xdr:colOff>
      <xdr:row>21</xdr:row>
      <xdr:rowOff>0</xdr:rowOff>
    </xdr:to>
    <xdr:sp>
      <xdr:nvSpPr>
        <xdr:cNvPr id="7" name="Line 600"/>
        <xdr:cNvSpPr>
          <a:spLocks/>
        </xdr:cNvSpPr>
      </xdr:nvSpPr>
      <xdr:spPr>
        <a:xfrm flipH="1" flipV="1">
          <a:off x="571500" y="4524375"/>
          <a:ext cx="171450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21</xdr:row>
      <xdr:rowOff>0</xdr:rowOff>
    </xdr:from>
    <xdr:to>
      <xdr:col>2</xdr:col>
      <xdr:colOff>485775</xdr:colOff>
      <xdr:row>22</xdr:row>
      <xdr:rowOff>9525</xdr:rowOff>
    </xdr:to>
    <xdr:sp>
      <xdr:nvSpPr>
        <xdr:cNvPr id="8" name="Line 601"/>
        <xdr:cNvSpPr>
          <a:spLocks/>
        </xdr:cNvSpPr>
      </xdr:nvSpPr>
      <xdr:spPr>
        <a:xfrm>
          <a:off x="2295525" y="4705350"/>
          <a:ext cx="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22</xdr:row>
      <xdr:rowOff>9525</xdr:rowOff>
    </xdr:from>
    <xdr:to>
      <xdr:col>3</xdr:col>
      <xdr:colOff>523875</xdr:colOff>
      <xdr:row>22</xdr:row>
      <xdr:rowOff>9525</xdr:rowOff>
    </xdr:to>
    <xdr:sp>
      <xdr:nvSpPr>
        <xdr:cNvPr id="9" name="Line 602"/>
        <xdr:cNvSpPr>
          <a:spLocks/>
        </xdr:cNvSpPr>
      </xdr:nvSpPr>
      <xdr:spPr>
        <a:xfrm>
          <a:off x="2295525" y="4924425"/>
          <a:ext cx="1000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22</xdr:row>
      <xdr:rowOff>142875</xdr:rowOff>
    </xdr:from>
    <xdr:to>
      <xdr:col>5</xdr:col>
      <xdr:colOff>819150</xdr:colOff>
      <xdr:row>29</xdr:row>
      <xdr:rowOff>180975</xdr:rowOff>
    </xdr:to>
    <xdr:sp>
      <xdr:nvSpPr>
        <xdr:cNvPr id="10" name="Line 603"/>
        <xdr:cNvSpPr>
          <a:spLocks/>
        </xdr:cNvSpPr>
      </xdr:nvSpPr>
      <xdr:spPr>
        <a:xfrm>
          <a:off x="3771900" y="5057775"/>
          <a:ext cx="1819275" cy="1390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29</xdr:row>
      <xdr:rowOff>180975</xdr:rowOff>
    </xdr:from>
    <xdr:to>
      <xdr:col>7</xdr:col>
      <xdr:colOff>76200</xdr:colOff>
      <xdr:row>29</xdr:row>
      <xdr:rowOff>180975</xdr:rowOff>
    </xdr:to>
    <xdr:sp>
      <xdr:nvSpPr>
        <xdr:cNvPr id="11" name="Line 604"/>
        <xdr:cNvSpPr>
          <a:spLocks/>
        </xdr:cNvSpPr>
      </xdr:nvSpPr>
      <xdr:spPr>
        <a:xfrm>
          <a:off x="5591175" y="6448425"/>
          <a:ext cx="1181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27</xdr:row>
      <xdr:rowOff>161925</xdr:rowOff>
    </xdr:from>
    <xdr:to>
      <xdr:col>7</xdr:col>
      <xdr:colOff>295275</xdr:colOff>
      <xdr:row>29</xdr:row>
      <xdr:rowOff>38100</xdr:rowOff>
    </xdr:to>
    <xdr:sp>
      <xdr:nvSpPr>
        <xdr:cNvPr id="12" name="Line 605"/>
        <xdr:cNvSpPr>
          <a:spLocks/>
        </xdr:cNvSpPr>
      </xdr:nvSpPr>
      <xdr:spPr>
        <a:xfrm>
          <a:off x="6991350" y="6057900"/>
          <a:ext cx="0" cy="247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29</xdr:row>
      <xdr:rowOff>28575</xdr:rowOff>
    </xdr:from>
    <xdr:to>
      <xdr:col>7</xdr:col>
      <xdr:colOff>295275</xdr:colOff>
      <xdr:row>29</xdr:row>
      <xdr:rowOff>180975</xdr:rowOff>
    </xdr:to>
    <xdr:sp>
      <xdr:nvSpPr>
        <xdr:cNvPr id="13" name="Line 606"/>
        <xdr:cNvSpPr>
          <a:spLocks/>
        </xdr:cNvSpPr>
      </xdr:nvSpPr>
      <xdr:spPr>
        <a:xfrm flipV="1">
          <a:off x="6772275" y="6296025"/>
          <a:ext cx="219075"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30</xdr:row>
      <xdr:rowOff>19050</xdr:rowOff>
    </xdr:from>
    <xdr:to>
      <xdr:col>7</xdr:col>
      <xdr:colOff>66675</xdr:colOff>
      <xdr:row>31</xdr:row>
      <xdr:rowOff>47625</xdr:rowOff>
    </xdr:to>
    <xdr:sp>
      <xdr:nvSpPr>
        <xdr:cNvPr id="14" name="Line 607"/>
        <xdr:cNvSpPr>
          <a:spLocks/>
        </xdr:cNvSpPr>
      </xdr:nvSpPr>
      <xdr:spPr>
        <a:xfrm>
          <a:off x="6762750" y="6477000"/>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952500</xdr:colOff>
      <xdr:row>30</xdr:row>
      <xdr:rowOff>19050</xdr:rowOff>
    </xdr:from>
    <xdr:to>
      <xdr:col>5</xdr:col>
      <xdr:colOff>952500</xdr:colOff>
      <xdr:row>31</xdr:row>
      <xdr:rowOff>47625</xdr:rowOff>
    </xdr:to>
    <xdr:sp>
      <xdr:nvSpPr>
        <xdr:cNvPr id="15" name="Line 608"/>
        <xdr:cNvSpPr>
          <a:spLocks/>
        </xdr:cNvSpPr>
      </xdr:nvSpPr>
      <xdr:spPr>
        <a:xfrm>
          <a:off x="5724525" y="6477000"/>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952500</xdr:colOff>
      <xdr:row>31</xdr:row>
      <xdr:rowOff>19050</xdr:rowOff>
    </xdr:from>
    <xdr:to>
      <xdr:col>7</xdr:col>
      <xdr:colOff>66675</xdr:colOff>
      <xdr:row>31</xdr:row>
      <xdr:rowOff>19050</xdr:rowOff>
    </xdr:to>
    <xdr:sp>
      <xdr:nvSpPr>
        <xdr:cNvPr id="16" name="Line 609"/>
        <xdr:cNvSpPr>
          <a:spLocks/>
        </xdr:cNvSpPr>
      </xdr:nvSpPr>
      <xdr:spPr>
        <a:xfrm>
          <a:off x="5724525" y="6667500"/>
          <a:ext cx="1038225"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22</xdr:row>
      <xdr:rowOff>28575</xdr:rowOff>
    </xdr:from>
    <xdr:to>
      <xdr:col>2</xdr:col>
      <xdr:colOff>485775</xdr:colOff>
      <xdr:row>23</xdr:row>
      <xdr:rowOff>57150</xdr:rowOff>
    </xdr:to>
    <xdr:sp>
      <xdr:nvSpPr>
        <xdr:cNvPr id="17" name="Line 610"/>
        <xdr:cNvSpPr>
          <a:spLocks/>
        </xdr:cNvSpPr>
      </xdr:nvSpPr>
      <xdr:spPr>
        <a:xfrm>
          <a:off x="2295525" y="4943475"/>
          <a:ext cx="0"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22</xdr:row>
      <xdr:rowOff>133350</xdr:rowOff>
    </xdr:from>
    <xdr:to>
      <xdr:col>3</xdr:col>
      <xdr:colOff>914400</xdr:colOff>
      <xdr:row>31</xdr:row>
      <xdr:rowOff>57150</xdr:rowOff>
    </xdr:to>
    <xdr:sp>
      <xdr:nvSpPr>
        <xdr:cNvPr id="18" name="Line 611"/>
        <xdr:cNvSpPr>
          <a:spLocks/>
        </xdr:cNvSpPr>
      </xdr:nvSpPr>
      <xdr:spPr>
        <a:xfrm>
          <a:off x="3686175" y="5048250"/>
          <a:ext cx="0" cy="1657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23</xdr:row>
      <xdr:rowOff>19050</xdr:rowOff>
    </xdr:from>
    <xdr:to>
      <xdr:col>3</xdr:col>
      <xdr:colOff>914400</xdr:colOff>
      <xdr:row>23</xdr:row>
      <xdr:rowOff>19050</xdr:rowOff>
    </xdr:to>
    <xdr:sp>
      <xdr:nvSpPr>
        <xdr:cNvPr id="19" name="Line 612"/>
        <xdr:cNvSpPr>
          <a:spLocks/>
        </xdr:cNvSpPr>
      </xdr:nvSpPr>
      <xdr:spPr>
        <a:xfrm>
          <a:off x="2295525" y="5143500"/>
          <a:ext cx="13906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27</xdr:row>
      <xdr:rowOff>152400</xdr:rowOff>
    </xdr:from>
    <xdr:to>
      <xdr:col>5</xdr:col>
      <xdr:colOff>133350</xdr:colOff>
      <xdr:row>28</xdr:row>
      <xdr:rowOff>152400</xdr:rowOff>
    </xdr:to>
    <xdr:sp>
      <xdr:nvSpPr>
        <xdr:cNvPr id="20" name="Line 613"/>
        <xdr:cNvSpPr>
          <a:spLocks/>
        </xdr:cNvSpPr>
      </xdr:nvSpPr>
      <xdr:spPr>
        <a:xfrm>
          <a:off x="4905375" y="6048375"/>
          <a:ext cx="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28</xdr:row>
      <xdr:rowOff>152400</xdr:rowOff>
    </xdr:from>
    <xdr:to>
      <xdr:col>5</xdr:col>
      <xdr:colOff>352425</xdr:colOff>
      <xdr:row>28</xdr:row>
      <xdr:rowOff>152400</xdr:rowOff>
    </xdr:to>
    <xdr:sp>
      <xdr:nvSpPr>
        <xdr:cNvPr id="21" name="Line 614"/>
        <xdr:cNvSpPr>
          <a:spLocks/>
        </xdr:cNvSpPr>
      </xdr:nvSpPr>
      <xdr:spPr>
        <a:xfrm>
          <a:off x="4905375" y="622935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28</xdr:row>
      <xdr:rowOff>161925</xdr:rowOff>
    </xdr:from>
    <xdr:to>
      <xdr:col>7</xdr:col>
      <xdr:colOff>495300</xdr:colOff>
      <xdr:row>28</xdr:row>
      <xdr:rowOff>161925</xdr:rowOff>
    </xdr:to>
    <xdr:sp>
      <xdr:nvSpPr>
        <xdr:cNvPr id="22" name="Line 615"/>
        <xdr:cNvSpPr>
          <a:spLocks/>
        </xdr:cNvSpPr>
      </xdr:nvSpPr>
      <xdr:spPr>
        <a:xfrm>
          <a:off x="7010400" y="6238875"/>
          <a:ext cx="180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28</xdr:row>
      <xdr:rowOff>161925</xdr:rowOff>
    </xdr:from>
    <xdr:to>
      <xdr:col>7</xdr:col>
      <xdr:colOff>438150</xdr:colOff>
      <xdr:row>30</xdr:row>
      <xdr:rowOff>9525</xdr:rowOff>
    </xdr:to>
    <xdr:sp>
      <xdr:nvSpPr>
        <xdr:cNvPr id="23" name="Line 616"/>
        <xdr:cNvSpPr>
          <a:spLocks/>
        </xdr:cNvSpPr>
      </xdr:nvSpPr>
      <xdr:spPr>
        <a:xfrm>
          <a:off x="7134225" y="6238875"/>
          <a:ext cx="0" cy="22860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26</xdr:row>
      <xdr:rowOff>171450</xdr:rowOff>
    </xdr:from>
    <xdr:to>
      <xdr:col>7</xdr:col>
      <xdr:colOff>438150</xdr:colOff>
      <xdr:row>27</xdr:row>
      <xdr:rowOff>171450</xdr:rowOff>
    </xdr:to>
    <xdr:sp>
      <xdr:nvSpPr>
        <xdr:cNvPr id="24" name="Line 617"/>
        <xdr:cNvSpPr>
          <a:spLocks/>
        </xdr:cNvSpPr>
      </xdr:nvSpPr>
      <xdr:spPr>
        <a:xfrm flipV="1">
          <a:off x="7134225" y="5867400"/>
          <a:ext cx="0" cy="2000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23</xdr:row>
      <xdr:rowOff>180975</xdr:rowOff>
    </xdr:from>
    <xdr:to>
      <xdr:col>4</xdr:col>
      <xdr:colOff>847725</xdr:colOff>
      <xdr:row>24</xdr:row>
      <xdr:rowOff>180975</xdr:rowOff>
    </xdr:to>
    <xdr:sp>
      <xdr:nvSpPr>
        <xdr:cNvPr id="25" name="Oval 618"/>
        <xdr:cNvSpPr>
          <a:spLocks/>
        </xdr:cNvSpPr>
      </xdr:nvSpPr>
      <xdr:spPr>
        <a:xfrm>
          <a:off x="4429125" y="5305425"/>
          <a:ext cx="1524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981075</xdr:colOff>
      <xdr:row>25</xdr:row>
      <xdr:rowOff>133350</xdr:rowOff>
    </xdr:from>
    <xdr:to>
      <xdr:col>5</xdr:col>
      <xdr:colOff>123825</xdr:colOff>
      <xdr:row>26</xdr:row>
      <xdr:rowOff>114300</xdr:rowOff>
    </xdr:to>
    <xdr:sp>
      <xdr:nvSpPr>
        <xdr:cNvPr id="26" name="Oval 619"/>
        <xdr:cNvSpPr>
          <a:spLocks/>
        </xdr:cNvSpPr>
      </xdr:nvSpPr>
      <xdr:spPr>
        <a:xfrm>
          <a:off x="4714875" y="5638800"/>
          <a:ext cx="1809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24</xdr:row>
      <xdr:rowOff>161925</xdr:rowOff>
    </xdr:from>
    <xdr:to>
      <xdr:col>4</xdr:col>
      <xdr:colOff>857250</xdr:colOff>
      <xdr:row>25</xdr:row>
      <xdr:rowOff>114300</xdr:rowOff>
    </xdr:to>
    <xdr:sp>
      <xdr:nvSpPr>
        <xdr:cNvPr id="27" name="Oval 620"/>
        <xdr:cNvSpPr>
          <a:spLocks/>
        </xdr:cNvSpPr>
      </xdr:nvSpPr>
      <xdr:spPr>
        <a:xfrm>
          <a:off x="4495800" y="5467350"/>
          <a:ext cx="952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23</xdr:row>
      <xdr:rowOff>114300</xdr:rowOff>
    </xdr:from>
    <xdr:to>
      <xdr:col>4</xdr:col>
      <xdr:colOff>723900</xdr:colOff>
      <xdr:row>24</xdr:row>
      <xdr:rowOff>76200</xdr:rowOff>
    </xdr:to>
    <xdr:sp>
      <xdr:nvSpPr>
        <xdr:cNvPr id="28" name="Oval 621"/>
        <xdr:cNvSpPr>
          <a:spLocks/>
        </xdr:cNvSpPr>
      </xdr:nvSpPr>
      <xdr:spPr>
        <a:xfrm>
          <a:off x="4324350" y="5238750"/>
          <a:ext cx="1333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24</xdr:row>
      <xdr:rowOff>76200</xdr:rowOff>
    </xdr:from>
    <xdr:to>
      <xdr:col>4</xdr:col>
      <xdr:colOff>952500</xdr:colOff>
      <xdr:row>25</xdr:row>
      <xdr:rowOff>19050</xdr:rowOff>
    </xdr:to>
    <xdr:sp>
      <xdr:nvSpPr>
        <xdr:cNvPr id="29" name="Oval 622"/>
        <xdr:cNvSpPr>
          <a:spLocks/>
        </xdr:cNvSpPr>
      </xdr:nvSpPr>
      <xdr:spPr>
        <a:xfrm>
          <a:off x="4562475" y="5381625"/>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25</xdr:row>
      <xdr:rowOff>47625</xdr:rowOff>
    </xdr:from>
    <xdr:to>
      <xdr:col>5</xdr:col>
      <xdr:colOff>104775</xdr:colOff>
      <xdr:row>25</xdr:row>
      <xdr:rowOff>161925</xdr:rowOff>
    </xdr:to>
    <xdr:sp>
      <xdr:nvSpPr>
        <xdr:cNvPr id="30" name="Oval 623"/>
        <xdr:cNvSpPr>
          <a:spLocks/>
        </xdr:cNvSpPr>
      </xdr:nvSpPr>
      <xdr:spPr>
        <a:xfrm>
          <a:off x="4800600" y="5553075"/>
          <a:ext cx="762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24</xdr:row>
      <xdr:rowOff>0</xdr:rowOff>
    </xdr:from>
    <xdr:to>
      <xdr:col>4</xdr:col>
      <xdr:colOff>619125</xdr:colOff>
      <xdr:row>24</xdr:row>
      <xdr:rowOff>133350</xdr:rowOff>
    </xdr:to>
    <xdr:sp>
      <xdr:nvSpPr>
        <xdr:cNvPr id="31" name="Oval 624"/>
        <xdr:cNvSpPr>
          <a:spLocks/>
        </xdr:cNvSpPr>
      </xdr:nvSpPr>
      <xdr:spPr>
        <a:xfrm>
          <a:off x="4238625" y="5305425"/>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24</xdr:row>
      <xdr:rowOff>57150</xdr:rowOff>
    </xdr:from>
    <xdr:to>
      <xdr:col>4</xdr:col>
      <xdr:colOff>685800</xdr:colOff>
      <xdr:row>25</xdr:row>
      <xdr:rowOff>9525</xdr:rowOff>
    </xdr:to>
    <xdr:sp>
      <xdr:nvSpPr>
        <xdr:cNvPr id="32" name="Oval 625"/>
        <xdr:cNvSpPr>
          <a:spLocks/>
        </xdr:cNvSpPr>
      </xdr:nvSpPr>
      <xdr:spPr>
        <a:xfrm>
          <a:off x="4343400" y="5362575"/>
          <a:ext cx="762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24</xdr:row>
      <xdr:rowOff>161925</xdr:rowOff>
    </xdr:from>
    <xdr:to>
      <xdr:col>5</xdr:col>
      <xdr:colOff>66675</xdr:colOff>
      <xdr:row>25</xdr:row>
      <xdr:rowOff>133350</xdr:rowOff>
    </xdr:to>
    <xdr:sp>
      <xdr:nvSpPr>
        <xdr:cNvPr id="33" name="Oval 626"/>
        <xdr:cNvSpPr>
          <a:spLocks/>
        </xdr:cNvSpPr>
      </xdr:nvSpPr>
      <xdr:spPr>
        <a:xfrm>
          <a:off x="4600575" y="5467350"/>
          <a:ext cx="2381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xdr:row>
      <xdr:rowOff>133350</xdr:rowOff>
    </xdr:from>
    <xdr:to>
      <xdr:col>4</xdr:col>
      <xdr:colOff>771525</xdr:colOff>
      <xdr:row>25</xdr:row>
      <xdr:rowOff>57150</xdr:rowOff>
    </xdr:to>
    <xdr:sp>
      <xdr:nvSpPr>
        <xdr:cNvPr id="34" name="Oval 627"/>
        <xdr:cNvSpPr>
          <a:spLocks/>
        </xdr:cNvSpPr>
      </xdr:nvSpPr>
      <xdr:spPr>
        <a:xfrm>
          <a:off x="4419600" y="5438775"/>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25</xdr:row>
      <xdr:rowOff>133350</xdr:rowOff>
    </xdr:from>
    <xdr:to>
      <xdr:col>5</xdr:col>
      <xdr:colOff>257175</xdr:colOff>
      <xdr:row>26</xdr:row>
      <xdr:rowOff>66675</xdr:rowOff>
    </xdr:to>
    <xdr:sp>
      <xdr:nvSpPr>
        <xdr:cNvPr id="35" name="Oval 628"/>
        <xdr:cNvSpPr>
          <a:spLocks/>
        </xdr:cNvSpPr>
      </xdr:nvSpPr>
      <xdr:spPr>
        <a:xfrm>
          <a:off x="4895850" y="5638800"/>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25</xdr:row>
      <xdr:rowOff>123825</xdr:rowOff>
    </xdr:from>
    <xdr:to>
      <xdr:col>5</xdr:col>
      <xdr:colOff>38100</xdr:colOff>
      <xdr:row>26</xdr:row>
      <xdr:rowOff>47625</xdr:rowOff>
    </xdr:to>
    <xdr:sp>
      <xdr:nvSpPr>
        <xdr:cNvPr id="36" name="Oval 629"/>
        <xdr:cNvSpPr>
          <a:spLocks/>
        </xdr:cNvSpPr>
      </xdr:nvSpPr>
      <xdr:spPr>
        <a:xfrm>
          <a:off x="4638675" y="5629275"/>
          <a:ext cx="1714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26</xdr:row>
      <xdr:rowOff>38100</xdr:rowOff>
    </xdr:from>
    <xdr:to>
      <xdr:col>5</xdr:col>
      <xdr:colOff>266700</xdr:colOff>
      <xdr:row>27</xdr:row>
      <xdr:rowOff>57150</xdr:rowOff>
    </xdr:to>
    <xdr:sp>
      <xdr:nvSpPr>
        <xdr:cNvPr id="37" name="Oval 630"/>
        <xdr:cNvSpPr>
          <a:spLocks/>
        </xdr:cNvSpPr>
      </xdr:nvSpPr>
      <xdr:spPr>
        <a:xfrm>
          <a:off x="4895850" y="5734050"/>
          <a:ext cx="1428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114300</xdr:colOff>
      <xdr:row>21</xdr:row>
      <xdr:rowOff>95250</xdr:rowOff>
    </xdr:to>
    <xdr:sp>
      <xdr:nvSpPr>
        <xdr:cNvPr id="38" name="Oval 631"/>
        <xdr:cNvSpPr>
          <a:spLocks/>
        </xdr:cNvSpPr>
      </xdr:nvSpPr>
      <xdr:spPr>
        <a:xfrm>
          <a:off x="2771775" y="471487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21</xdr:row>
      <xdr:rowOff>76200</xdr:rowOff>
    </xdr:from>
    <xdr:to>
      <xdr:col>2</xdr:col>
      <xdr:colOff>581025</xdr:colOff>
      <xdr:row>22</xdr:row>
      <xdr:rowOff>9525</xdr:rowOff>
    </xdr:to>
    <xdr:sp>
      <xdr:nvSpPr>
        <xdr:cNvPr id="39" name="Oval 632"/>
        <xdr:cNvSpPr>
          <a:spLocks/>
        </xdr:cNvSpPr>
      </xdr:nvSpPr>
      <xdr:spPr>
        <a:xfrm>
          <a:off x="2295525" y="4781550"/>
          <a:ext cx="952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21</xdr:row>
      <xdr:rowOff>28575</xdr:rowOff>
    </xdr:from>
    <xdr:to>
      <xdr:col>3</xdr:col>
      <xdr:colOff>904875</xdr:colOff>
      <xdr:row>21</xdr:row>
      <xdr:rowOff>133350</xdr:rowOff>
    </xdr:to>
    <xdr:sp>
      <xdr:nvSpPr>
        <xdr:cNvPr id="40" name="Oval 633"/>
        <xdr:cNvSpPr>
          <a:spLocks/>
        </xdr:cNvSpPr>
      </xdr:nvSpPr>
      <xdr:spPr>
        <a:xfrm>
          <a:off x="3571875" y="47339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123825</xdr:rowOff>
    </xdr:from>
    <xdr:to>
      <xdr:col>4</xdr:col>
      <xdr:colOff>190500</xdr:colOff>
      <xdr:row>22</xdr:row>
      <xdr:rowOff>66675</xdr:rowOff>
    </xdr:to>
    <xdr:sp>
      <xdr:nvSpPr>
        <xdr:cNvPr id="41" name="Oval 634"/>
        <xdr:cNvSpPr>
          <a:spLocks/>
        </xdr:cNvSpPr>
      </xdr:nvSpPr>
      <xdr:spPr>
        <a:xfrm>
          <a:off x="3829050" y="4829175"/>
          <a:ext cx="952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21</xdr:row>
      <xdr:rowOff>123825</xdr:rowOff>
    </xdr:from>
    <xdr:to>
      <xdr:col>3</xdr:col>
      <xdr:colOff>904875</xdr:colOff>
      <xdr:row>22</xdr:row>
      <xdr:rowOff>57150</xdr:rowOff>
    </xdr:to>
    <xdr:sp>
      <xdr:nvSpPr>
        <xdr:cNvPr id="42" name="Oval 635"/>
        <xdr:cNvSpPr>
          <a:spLocks/>
        </xdr:cNvSpPr>
      </xdr:nvSpPr>
      <xdr:spPr>
        <a:xfrm>
          <a:off x="3581400" y="4829175"/>
          <a:ext cx="952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21</xdr:row>
      <xdr:rowOff>57150</xdr:rowOff>
    </xdr:from>
    <xdr:to>
      <xdr:col>4</xdr:col>
      <xdr:colOff>38100</xdr:colOff>
      <xdr:row>22</xdr:row>
      <xdr:rowOff>9525</xdr:rowOff>
    </xdr:to>
    <xdr:sp>
      <xdr:nvSpPr>
        <xdr:cNvPr id="43" name="Oval 636"/>
        <xdr:cNvSpPr>
          <a:spLocks/>
        </xdr:cNvSpPr>
      </xdr:nvSpPr>
      <xdr:spPr>
        <a:xfrm>
          <a:off x="3667125" y="4762500"/>
          <a:ext cx="1047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21</xdr:row>
      <xdr:rowOff>104775</xdr:rowOff>
    </xdr:from>
    <xdr:to>
      <xdr:col>4</xdr:col>
      <xdr:colOff>104775</xdr:colOff>
      <xdr:row>22</xdr:row>
      <xdr:rowOff>57150</xdr:rowOff>
    </xdr:to>
    <xdr:sp>
      <xdr:nvSpPr>
        <xdr:cNvPr id="44" name="Oval 637"/>
        <xdr:cNvSpPr>
          <a:spLocks/>
        </xdr:cNvSpPr>
      </xdr:nvSpPr>
      <xdr:spPr>
        <a:xfrm>
          <a:off x="3762375" y="4810125"/>
          <a:ext cx="762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22</xdr:row>
      <xdr:rowOff>38100</xdr:rowOff>
    </xdr:from>
    <xdr:to>
      <xdr:col>4</xdr:col>
      <xdr:colOff>152400</xdr:colOff>
      <xdr:row>22</xdr:row>
      <xdr:rowOff>161925</xdr:rowOff>
    </xdr:to>
    <xdr:sp>
      <xdr:nvSpPr>
        <xdr:cNvPr id="45" name="Oval 638"/>
        <xdr:cNvSpPr>
          <a:spLocks/>
        </xdr:cNvSpPr>
      </xdr:nvSpPr>
      <xdr:spPr>
        <a:xfrm>
          <a:off x="3771900" y="4953000"/>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21</xdr:row>
      <xdr:rowOff>142875</xdr:rowOff>
    </xdr:from>
    <xdr:to>
      <xdr:col>4</xdr:col>
      <xdr:colOff>228600</xdr:colOff>
      <xdr:row>22</xdr:row>
      <xdr:rowOff>114300</xdr:rowOff>
    </xdr:to>
    <xdr:sp>
      <xdr:nvSpPr>
        <xdr:cNvPr id="46" name="Oval 639"/>
        <xdr:cNvSpPr>
          <a:spLocks/>
        </xdr:cNvSpPr>
      </xdr:nvSpPr>
      <xdr:spPr>
        <a:xfrm>
          <a:off x="3914775" y="4848225"/>
          <a:ext cx="4762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22</xdr:row>
      <xdr:rowOff>95250</xdr:rowOff>
    </xdr:from>
    <xdr:to>
      <xdr:col>4</xdr:col>
      <xdr:colOff>257175</xdr:colOff>
      <xdr:row>23</xdr:row>
      <xdr:rowOff>28575</xdr:rowOff>
    </xdr:to>
    <xdr:sp>
      <xdr:nvSpPr>
        <xdr:cNvPr id="47" name="Oval 640"/>
        <xdr:cNvSpPr>
          <a:spLocks/>
        </xdr:cNvSpPr>
      </xdr:nvSpPr>
      <xdr:spPr>
        <a:xfrm>
          <a:off x="3867150" y="5010150"/>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22</xdr:row>
      <xdr:rowOff>9525</xdr:rowOff>
    </xdr:from>
    <xdr:to>
      <xdr:col>4</xdr:col>
      <xdr:colOff>323850</xdr:colOff>
      <xdr:row>22</xdr:row>
      <xdr:rowOff>95250</xdr:rowOff>
    </xdr:to>
    <xdr:sp>
      <xdr:nvSpPr>
        <xdr:cNvPr id="48" name="Oval 641"/>
        <xdr:cNvSpPr>
          <a:spLocks/>
        </xdr:cNvSpPr>
      </xdr:nvSpPr>
      <xdr:spPr>
        <a:xfrm>
          <a:off x="3943350" y="492442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180975</xdr:rowOff>
    </xdr:from>
    <xdr:to>
      <xdr:col>4</xdr:col>
      <xdr:colOff>352425</xdr:colOff>
      <xdr:row>23</xdr:row>
      <xdr:rowOff>114300</xdr:rowOff>
    </xdr:to>
    <xdr:sp>
      <xdr:nvSpPr>
        <xdr:cNvPr id="49" name="Oval 642"/>
        <xdr:cNvSpPr>
          <a:spLocks/>
        </xdr:cNvSpPr>
      </xdr:nvSpPr>
      <xdr:spPr>
        <a:xfrm>
          <a:off x="3962400" y="5095875"/>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22</xdr:row>
      <xdr:rowOff>95250</xdr:rowOff>
    </xdr:from>
    <xdr:to>
      <xdr:col>4</xdr:col>
      <xdr:colOff>314325</xdr:colOff>
      <xdr:row>22</xdr:row>
      <xdr:rowOff>180975</xdr:rowOff>
    </xdr:to>
    <xdr:sp>
      <xdr:nvSpPr>
        <xdr:cNvPr id="50" name="Oval 643"/>
        <xdr:cNvSpPr>
          <a:spLocks/>
        </xdr:cNvSpPr>
      </xdr:nvSpPr>
      <xdr:spPr>
        <a:xfrm>
          <a:off x="3971925" y="5010150"/>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22</xdr:row>
      <xdr:rowOff>76200</xdr:rowOff>
    </xdr:from>
    <xdr:to>
      <xdr:col>4</xdr:col>
      <xdr:colOff>409575</xdr:colOff>
      <xdr:row>22</xdr:row>
      <xdr:rowOff>142875</xdr:rowOff>
    </xdr:to>
    <xdr:sp>
      <xdr:nvSpPr>
        <xdr:cNvPr id="51" name="Oval 644"/>
        <xdr:cNvSpPr>
          <a:spLocks/>
        </xdr:cNvSpPr>
      </xdr:nvSpPr>
      <xdr:spPr>
        <a:xfrm>
          <a:off x="4048125" y="499110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22</xdr:row>
      <xdr:rowOff>142875</xdr:rowOff>
    </xdr:from>
    <xdr:to>
      <xdr:col>4</xdr:col>
      <xdr:colOff>381000</xdr:colOff>
      <xdr:row>23</xdr:row>
      <xdr:rowOff>38100</xdr:rowOff>
    </xdr:to>
    <xdr:sp>
      <xdr:nvSpPr>
        <xdr:cNvPr id="52" name="Oval 645"/>
        <xdr:cNvSpPr>
          <a:spLocks/>
        </xdr:cNvSpPr>
      </xdr:nvSpPr>
      <xdr:spPr>
        <a:xfrm>
          <a:off x="4038600" y="505777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23</xdr:row>
      <xdr:rowOff>76200</xdr:rowOff>
    </xdr:from>
    <xdr:to>
      <xdr:col>4</xdr:col>
      <xdr:colOff>390525</xdr:colOff>
      <xdr:row>23</xdr:row>
      <xdr:rowOff>152400</xdr:rowOff>
    </xdr:to>
    <xdr:sp>
      <xdr:nvSpPr>
        <xdr:cNvPr id="53" name="Oval 646"/>
        <xdr:cNvSpPr>
          <a:spLocks/>
        </xdr:cNvSpPr>
      </xdr:nvSpPr>
      <xdr:spPr>
        <a:xfrm>
          <a:off x="4048125" y="52006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22</xdr:row>
      <xdr:rowOff>123825</xdr:rowOff>
    </xdr:from>
    <xdr:to>
      <xdr:col>4</xdr:col>
      <xdr:colOff>485775</xdr:colOff>
      <xdr:row>23</xdr:row>
      <xdr:rowOff>38100</xdr:rowOff>
    </xdr:to>
    <xdr:sp>
      <xdr:nvSpPr>
        <xdr:cNvPr id="54" name="Oval 647"/>
        <xdr:cNvSpPr>
          <a:spLocks/>
        </xdr:cNvSpPr>
      </xdr:nvSpPr>
      <xdr:spPr>
        <a:xfrm>
          <a:off x="4114800" y="5038725"/>
          <a:ext cx="1047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xdr:row>
      <xdr:rowOff>9525</xdr:rowOff>
    </xdr:from>
    <xdr:to>
      <xdr:col>4</xdr:col>
      <xdr:colOff>438150</xdr:colOff>
      <xdr:row>23</xdr:row>
      <xdr:rowOff>104775</xdr:rowOff>
    </xdr:to>
    <xdr:sp>
      <xdr:nvSpPr>
        <xdr:cNvPr id="55" name="Oval 648"/>
        <xdr:cNvSpPr>
          <a:spLocks/>
        </xdr:cNvSpPr>
      </xdr:nvSpPr>
      <xdr:spPr>
        <a:xfrm>
          <a:off x="4086225" y="5133975"/>
          <a:ext cx="857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27</xdr:row>
      <xdr:rowOff>0</xdr:rowOff>
    </xdr:from>
    <xdr:to>
      <xdr:col>5</xdr:col>
      <xdr:colOff>409575</xdr:colOff>
      <xdr:row>27</xdr:row>
      <xdr:rowOff>123825</xdr:rowOff>
    </xdr:to>
    <xdr:sp>
      <xdr:nvSpPr>
        <xdr:cNvPr id="56" name="Oval 649"/>
        <xdr:cNvSpPr>
          <a:spLocks/>
        </xdr:cNvSpPr>
      </xdr:nvSpPr>
      <xdr:spPr>
        <a:xfrm>
          <a:off x="4972050" y="5895975"/>
          <a:ext cx="2095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25</xdr:row>
      <xdr:rowOff>85725</xdr:rowOff>
    </xdr:from>
    <xdr:to>
      <xdr:col>5</xdr:col>
      <xdr:colOff>161925</xdr:colOff>
      <xdr:row>26</xdr:row>
      <xdr:rowOff>0</xdr:rowOff>
    </xdr:to>
    <xdr:sp>
      <xdr:nvSpPr>
        <xdr:cNvPr id="57" name="Oval 650"/>
        <xdr:cNvSpPr>
          <a:spLocks/>
        </xdr:cNvSpPr>
      </xdr:nvSpPr>
      <xdr:spPr>
        <a:xfrm>
          <a:off x="4867275" y="5591175"/>
          <a:ext cx="666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26</xdr:row>
      <xdr:rowOff>28575</xdr:rowOff>
    </xdr:from>
    <xdr:to>
      <xdr:col>5</xdr:col>
      <xdr:colOff>314325</xdr:colOff>
      <xdr:row>26</xdr:row>
      <xdr:rowOff>114300</xdr:rowOff>
    </xdr:to>
    <xdr:sp>
      <xdr:nvSpPr>
        <xdr:cNvPr id="58" name="Oval 651"/>
        <xdr:cNvSpPr>
          <a:spLocks/>
        </xdr:cNvSpPr>
      </xdr:nvSpPr>
      <xdr:spPr>
        <a:xfrm>
          <a:off x="5000625" y="572452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26</xdr:row>
      <xdr:rowOff>85725</xdr:rowOff>
    </xdr:from>
    <xdr:to>
      <xdr:col>5</xdr:col>
      <xdr:colOff>381000</xdr:colOff>
      <xdr:row>27</xdr:row>
      <xdr:rowOff>0</xdr:rowOff>
    </xdr:to>
    <xdr:sp>
      <xdr:nvSpPr>
        <xdr:cNvPr id="59" name="Oval 652"/>
        <xdr:cNvSpPr>
          <a:spLocks/>
        </xdr:cNvSpPr>
      </xdr:nvSpPr>
      <xdr:spPr>
        <a:xfrm>
          <a:off x="5019675" y="5781675"/>
          <a:ext cx="1333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27</xdr:row>
      <xdr:rowOff>104775</xdr:rowOff>
    </xdr:from>
    <xdr:to>
      <xdr:col>5</xdr:col>
      <xdr:colOff>400050</xdr:colOff>
      <xdr:row>28</xdr:row>
      <xdr:rowOff>19050</xdr:rowOff>
    </xdr:to>
    <xdr:sp>
      <xdr:nvSpPr>
        <xdr:cNvPr id="60" name="Oval 653"/>
        <xdr:cNvSpPr>
          <a:spLocks/>
        </xdr:cNvSpPr>
      </xdr:nvSpPr>
      <xdr:spPr>
        <a:xfrm>
          <a:off x="5086350" y="6000750"/>
          <a:ext cx="857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26</xdr:row>
      <xdr:rowOff>133350</xdr:rowOff>
    </xdr:from>
    <xdr:to>
      <xdr:col>5</xdr:col>
      <xdr:colOff>466725</xdr:colOff>
      <xdr:row>27</xdr:row>
      <xdr:rowOff>57150</xdr:rowOff>
    </xdr:to>
    <xdr:sp>
      <xdr:nvSpPr>
        <xdr:cNvPr id="61" name="Oval 654"/>
        <xdr:cNvSpPr>
          <a:spLocks/>
        </xdr:cNvSpPr>
      </xdr:nvSpPr>
      <xdr:spPr>
        <a:xfrm>
          <a:off x="5153025" y="5829300"/>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27</xdr:row>
      <xdr:rowOff>76200</xdr:rowOff>
    </xdr:from>
    <xdr:to>
      <xdr:col>5</xdr:col>
      <xdr:colOff>457200</xdr:colOff>
      <xdr:row>27</xdr:row>
      <xdr:rowOff>161925</xdr:rowOff>
    </xdr:to>
    <xdr:sp>
      <xdr:nvSpPr>
        <xdr:cNvPr id="62" name="Oval 655"/>
        <xdr:cNvSpPr>
          <a:spLocks/>
        </xdr:cNvSpPr>
      </xdr:nvSpPr>
      <xdr:spPr>
        <a:xfrm>
          <a:off x="5153025" y="59721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27</xdr:row>
      <xdr:rowOff>9525</xdr:rowOff>
    </xdr:from>
    <xdr:to>
      <xdr:col>5</xdr:col>
      <xdr:colOff>561975</xdr:colOff>
      <xdr:row>27</xdr:row>
      <xdr:rowOff>104775</xdr:rowOff>
    </xdr:to>
    <xdr:sp>
      <xdr:nvSpPr>
        <xdr:cNvPr id="63" name="Oval 656"/>
        <xdr:cNvSpPr>
          <a:spLocks/>
        </xdr:cNvSpPr>
      </xdr:nvSpPr>
      <xdr:spPr>
        <a:xfrm>
          <a:off x="5210175" y="5905500"/>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27</xdr:row>
      <xdr:rowOff>161925</xdr:rowOff>
    </xdr:from>
    <xdr:to>
      <xdr:col>5</xdr:col>
      <xdr:colOff>476250</xdr:colOff>
      <xdr:row>28</xdr:row>
      <xdr:rowOff>66675</xdr:rowOff>
    </xdr:to>
    <xdr:sp>
      <xdr:nvSpPr>
        <xdr:cNvPr id="64" name="Oval 657"/>
        <xdr:cNvSpPr>
          <a:spLocks/>
        </xdr:cNvSpPr>
      </xdr:nvSpPr>
      <xdr:spPr>
        <a:xfrm>
          <a:off x="5162550" y="6057900"/>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104775</xdr:rowOff>
    </xdr:from>
    <xdr:to>
      <xdr:col>5</xdr:col>
      <xdr:colOff>533400</xdr:colOff>
      <xdr:row>28</xdr:row>
      <xdr:rowOff>9525</xdr:rowOff>
    </xdr:to>
    <xdr:sp>
      <xdr:nvSpPr>
        <xdr:cNvPr id="65" name="Oval 658"/>
        <xdr:cNvSpPr>
          <a:spLocks/>
        </xdr:cNvSpPr>
      </xdr:nvSpPr>
      <xdr:spPr>
        <a:xfrm>
          <a:off x="5229225" y="60007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27</xdr:row>
      <xdr:rowOff>57150</xdr:rowOff>
    </xdr:from>
    <xdr:to>
      <xdr:col>5</xdr:col>
      <xdr:colOff>638175</xdr:colOff>
      <xdr:row>28</xdr:row>
      <xdr:rowOff>171450</xdr:rowOff>
    </xdr:to>
    <xdr:sp>
      <xdr:nvSpPr>
        <xdr:cNvPr id="66" name="Oval 659"/>
        <xdr:cNvSpPr>
          <a:spLocks/>
        </xdr:cNvSpPr>
      </xdr:nvSpPr>
      <xdr:spPr>
        <a:xfrm>
          <a:off x="5286375" y="5953125"/>
          <a:ext cx="12382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28</xdr:row>
      <xdr:rowOff>9525</xdr:rowOff>
    </xdr:from>
    <xdr:to>
      <xdr:col>5</xdr:col>
      <xdr:colOff>533400</xdr:colOff>
      <xdr:row>28</xdr:row>
      <xdr:rowOff>114300</xdr:rowOff>
    </xdr:to>
    <xdr:sp>
      <xdr:nvSpPr>
        <xdr:cNvPr id="67" name="Oval 660"/>
        <xdr:cNvSpPr>
          <a:spLocks/>
        </xdr:cNvSpPr>
      </xdr:nvSpPr>
      <xdr:spPr>
        <a:xfrm>
          <a:off x="5229225" y="608647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28</xdr:row>
      <xdr:rowOff>123825</xdr:rowOff>
    </xdr:from>
    <xdr:to>
      <xdr:col>5</xdr:col>
      <xdr:colOff>685800</xdr:colOff>
      <xdr:row>29</xdr:row>
      <xdr:rowOff>28575</xdr:rowOff>
    </xdr:to>
    <xdr:sp>
      <xdr:nvSpPr>
        <xdr:cNvPr id="68" name="Oval 661"/>
        <xdr:cNvSpPr>
          <a:spLocks/>
        </xdr:cNvSpPr>
      </xdr:nvSpPr>
      <xdr:spPr>
        <a:xfrm>
          <a:off x="5343525" y="6200775"/>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27</xdr:row>
      <xdr:rowOff>133350</xdr:rowOff>
    </xdr:from>
    <xdr:to>
      <xdr:col>5</xdr:col>
      <xdr:colOff>704850</xdr:colOff>
      <xdr:row>28</xdr:row>
      <xdr:rowOff>47625</xdr:rowOff>
    </xdr:to>
    <xdr:sp>
      <xdr:nvSpPr>
        <xdr:cNvPr id="69" name="Oval 662"/>
        <xdr:cNvSpPr>
          <a:spLocks/>
        </xdr:cNvSpPr>
      </xdr:nvSpPr>
      <xdr:spPr>
        <a:xfrm>
          <a:off x="5381625" y="60293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28</xdr:row>
      <xdr:rowOff>9525</xdr:rowOff>
    </xdr:from>
    <xdr:to>
      <xdr:col>5</xdr:col>
      <xdr:colOff>762000</xdr:colOff>
      <xdr:row>28</xdr:row>
      <xdr:rowOff>133350</xdr:rowOff>
    </xdr:to>
    <xdr:sp>
      <xdr:nvSpPr>
        <xdr:cNvPr id="70" name="Oval 663"/>
        <xdr:cNvSpPr>
          <a:spLocks/>
        </xdr:cNvSpPr>
      </xdr:nvSpPr>
      <xdr:spPr>
        <a:xfrm>
          <a:off x="5372100" y="6086475"/>
          <a:ext cx="1619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28</xdr:row>
      <xdr:rowOff>133350</xdr:rowOff>
    </xdr:from>
    <xdr:to>
      <xdr:col>5</xdr:col>
      <xdr:colOff>781050</xdr:colOff>
      <xdr:row>29</xdr:row>
      <xdr:rowOff>85725</xdr:rowOff>
    </xdr:to>
    <xdr:sp>
      <xdr:nvSpPr>
        <xdr:cNvPr id="71" name="Oval 664"/>
        <xdr:cNvSpPr>
          <a:spLocks/>
        </xdr:cNvSpPr>
      </xdr:nvSpPr>
      <xdr:spPr>
        <a:xfrm>
          <a:off x="5448300" y="6210300"/>
          <a:ext cx="10477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28</xdr:row>
      <xdr:rowOff>57150</xdr:rowOff>
    </xdr:from>
    <xdr:to>
      <xdr:col>5</xdr:col>
      <xdr:colOff>866775</xdr:colOff>
      <xdr:row>28</xdr:row>
      <xdr:rowOff>161925</xdr:rowOff>
    </xdr:to>
    <xdr:sp>
      <xdr:nvSpPr>
        <xdr:cNvPr id="72" name="Oval 665"/>
        <xdr:cNvSpPr>
          <a:spLocks/>
        </xdr:cNvSpPr>
      </xdr:nvSpPr>
      <xdr:spPr>
        <a:xfrm>
          <a:off x="5514975" y="6134100"/>
          <a:ext cx="1238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28</xdr:row>
      <xdr:rowOff>161925</xdr:rowOff>
    </xdr:from>
    <xdr:to>
      <xdr:col>5</xdr:col>
      <xdr:colOff>895350</xdr:colOff>
      <xdr:row>29</xdr:row>
      <xdr:rowOff>47625</xdr:rowOff>
    </xdr:to>
    <xdr:sp>
      <xdr:nvSpPr>
        <xdr:cNvPr id="73" name="Oval 666"/>
        <xdr:cNvSpPr>
          <a:spLocks/>
        </xdr:cNvSpPr>
      </xdr:nvSpPr>
      <xdr:spPr>
        <a:xfrm>
          <a:off x="5553075" y="6238875"/>
          <a:ext cx="1143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29</xdr:row>
      <xdr:rowOff>38100</xdr:rowOff>
    </xdr:from>
    <xdr:to>
      <xdr:col>5</xdr:col>
      <xdr:colOff>866775</xdr:colOff>
      <xdr:row>29</xdr:row>
      <xdr:rowOff>161925</xdr:rowOff>
    </xdr:to>
    <xdr:sp>
      <xdr:nvSpPr>
        <xdr:cNvPr id="74" name="Oval 667"/>
        <xdr:cNvSpPr>
          <a:spLocks/>
        </xdr:cNvSpPr>
      </xdr:nvSpPr>
      <xdr:spPr>
        <a:xfrm>
          <a:off x="5524500" y="6305550"/>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885825</xdr:colOff>
      <xdr:row>28</xdr:row>
      <xdr:rowOff>161925</xdr:rowOff>
    </xdr:from>
    <xdr:to>
      <xdr:col>6</xdr:col>
      <xdr:colOff>19050</xdr:colOff>
      <xdr:row>29</xdr:row>
      <xdr:rowOff>57150</xdr:rowOff>
    </xdr:to>
    <xdr:sp>
      <xdr:nvSpPr>
        <xdr:cNvPr id="75" name="Oval 668"/>
        <xdr:cNvSpPr>
          <a:spLocks/>
        </xdr:cNvSpPr>
      </xdr:nvSpPr>
      <xdr:spPr>
        <a:xfrm>
          <a:off x="5657850" y="6238875"/>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29</xdr:row>
      <xdr:rowOff>47625</xdr:rowOff>
    </xdr:from>
    <xdr:to>
      <xdr:col>6</xdr:col>
      <xdr:colOff>38100</xdr:colOff>
      <xdr:row>29</xdr:row>
      <xdr:rowOff>180975</xdr:rowOff>
    </xdr:to>
    <xdr:sp>
      <xdr:nvSpPr>
        <xdr:cNvPr id="76" name="Oval 669"/>
        <xdr:cNvSpPr>
          <a:spLocks/>
        </xdr:cNvSpPr>
      </xdr:nvSpPr>
      <xdr:spPr>
        <a:xfrm>
          <a:off x="5619750" y="6315075"/>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28</xdr:row>
      <xdr:rowOff>161925</xdr:rowOff>
    </xdr:from>
    <xdr:to>
      <xdr:col>7</xdr:col>
      <xdr:colOff>19050</xdr:colOff>
      <xdr:row>29</xdr:row>
      <xdr:rowOff>66675</xdr:rowOff>
    </xdr:to>
    <xdr:sp>
      <xdr:nvSpPr>
        <xdr:cNvPr id="77" name="Oval 670"/>
        <xdr:cNvSpPr>
          <a:spLocks/>
        </xdr:cNvSpPr>
      </xdr:nvSpPr>
      <xdr:spPr>
        <a:xfrm>
          <a:off x="6600825" y="6238875"/>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57150</xdr:rowOff>
    </xdr:from>
    <xdr:to>
      <xdr:col>7</xdr:col>
      <xdr:colOff>66675</xdr:colOff>
      <xdr:row>29</xdr:row>
      <xdr:rowOff>180975</xdr:rowOff>
    </xdr:to>
    <xdr:sp>
      <xdr:nvSpPr>
        <xdr:cNvPr id="78" name="Oval 671"/>
        <xdr:cNvSpPr>
          <a:spLocks/>
        </xdr:cNvSpPr>
      </xdr:nvSpPr>
      <xdr:spPr>
        <a:xfrm>
          <a:off x="6610350" y="6324600"/>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28</xdr:row>
      <xdr:rowOff>171450</xdr:rowOff>
    </xdr:from>
    <xdr:to>
      <xdr:col>7</xdr:col>
      <xdr:colOff>114300</xdr:colOff>
      <xdr:row>29</xdr:row>
      <xdr:rowOff>66675</xdr:rowOff>
    </xdr:to>
    <xdr:sp>
      <xdr:nvSpPr>
        <xdr:cNvPr id="79" name="Oval 672"/>
        <xdr:cNvSpPr>
          <a:spLocks/>
        </xdr:cNvSpPr>
      </xdr:nvSpPr>
      <xdr:spPr>
        <a:xfrm>
          <a:off x="6715125" y="624840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47625</xdr:rowOff>
    </xdr:from>
    <xdr:to>
      <xdr:col>7</xdr:col>
      <xdr:colOff>285750</xdr:colOff>
      <xdr:row>28</xdr:row>
      <xdr:rowOff>171450</xdr:rowOff>
    </xdr:to>
    <xdr:sp>
      <xdr:nvSpPr>
        <xdr:cNvPr id="80" name="Oval 673"/>
        <xdr:cNvSpPr>
          <a:spLocks/>
        </xdr:cNvSpPr>
      </xdr:nvSpPr>
      <xdr:spPr>
        <a:xfrm>
          <a:off x="6867525" y="6124575"/>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28</xdr:row>
      <xdr:rowOff>180975</xdr:rowOff>
    </xdr:from>
    <xdr:to>
      <xdr:col>7</xdr:col>
      <xdr:colOff>209550</xdr:colOff>
      <xdr:row>29</xdr:row>
      <xdr:rowOff>114300</xdr:rowOff>
    </xdr:to>
    <xdr:sp>
      <xdr:nvSpPr>
        <xdr:cNvPr id="81" name="Oval 674"/>
        <xdr:cNvSpPr>
          <a:spLocks/>
        </xdr:cNvSpPr>
      </xdr:nvSpPr>
      <xdr:spPr>
        <a:xfrm>
          <a:off x="6791325" y="6257925"/>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28</xdr:row>
      <xdr:rowOff>161925</xdr:rowOff>
    </xdr:from>
    <xdr:to>
      <xdr:col>6</xdr:col>
      <xdr:colOff>95250</xdr:colOff>
      <xdr:row>29</xdr:row>
      <xdr:rowOff>76200</xdr:rowOff>
    </xdr:to>
    <xdr:sp>
      <xdr:nvSpPr>
        <xdr:cNvPr id="82" name="Oval 675"/>
        <xdr:cNvSpPr>
          <a:spLocks/>
        </xdr:cNvSpPr>
      </xdr:nvSpPr>
      <xdr:spPr>
        <a:xfrm>
          <a:off x="5743575" y="6238875"/>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21</xdr:row>
      <xdr:rowOff>9525</xdr:rowOff>
    </xdr:from>
    <xdr:to>
      <xdr:col>2</xdr:col>
      <xdr:colOff>685800</xdr:colOff>
      <xdr:row>21</xdr:row>
      <xdr:rowOff>104775</xdr:rowOff>
    </xdr:to>
    <xdr:sp>
      <xdr:nvSpPr>
        <xdr:cNvPr id="83" name="Oval 676"/>
        <xdr:cNvSpPr>
          <a:spLocks/>
        </xdr:cNvSpPr>
      </xdr:nvSpPr>
      <xdr:spPr>
        <a:xfrm>
          <a:off x="2390775" y="47148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21</xdr:row>
      <xdr:rowOff>0</xdr:rowOff>
    </xdr:from>
    <xdr:to>
      <xdr:col>2</xdr:col>
      <xdr:colOff>781050</xdr:colOff>
      <xdr:row>21</xdr:row>
      <xdr:rowOff>95250</xdr:rowOff>
    </xdr:to>
    <xdr:sp>
      <xdr:nvSpPr>
        <xdr:cNvPr id="84" name="Oval 677"/>
        <xdr:cNvSpPr>
          <a:spLocks/>
        </xdr:cNvSpPr>
      </xdr:nvSpPr>
      <xdr:spPr>
        <a:xfrm>
          <a:off x="2495550" y="47053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21</xdr:row>
      <xdr:rowOff>95250</xdr:rowOff>
    </xdr:from>
    <xdr:to>
      <xdr:col>2</xdr:col>
      <xdr:colOff>695325</xdr:colOff>
      <xdr:row>22</xdr:row>
      <xdr:rowOff>9525</xdr:rowOff>
    </xdr:to>
    <xdr:sp>
      <xdr:nvSpPr>
        <xdr:cNvPr id="85" name="Oval 678"/>
        <xdr:cNvSpPr>
          <a:spLocks/>
        </xdr:cNvSpPr>
      </xdr:nvSpPr>
      <xdr:spPr>
        <a:xfrm>
          <a:off x="2381250" y="48006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21</xdr:row>
      <xdr:rowOff>66675</xdr:rowOff>
    </xdr:from>
    <xdr:to>
      <xdr:col>2</xdr:col>
      <xdr:colOff>866775</xdr:colOff>
      <xdr:row>22</xdr:row>
      <xdr:rowOff>9525</xdr:rowOff>
    </xdr:to>
    <xdr:sp>
      <xdr:nvSpPr>
        <xdr:cNvPr id="86" name="Oval 679"/>
        <xdr:cNvSpPr>
          <a:spLocks/>
        </xdr:cNvSpPr>
      </xdr:nvSpPr>
      <xdr:spPr>
        <a:xfrm>
          <a:off x="2571750" y="477202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847725</xdr:colOff>
      <xdr:row>21</xdr:row>
      <xdr:rowOff>9525</xdr:rowOff>
    </xdr:from>
    <xdr:to>
      <xdr:col>2</xdr:col>
      <xdr:colOff>952500</xdr:colOff>
      <xdr:row>21</xdr:row>
      <xdr:rowOff>85725</xdr:rowOff>
    </xdr:to>
    <xdr:sp>
      <xdr:nvSpPr>
        <xdr:cNvPr id="87" name="Oval 680"/>
        <xdr:cNvSpPr>
          <a:spLocks/>
        </xdr:cNvSpPr>
      </xdr:nvSpPr>
      <xdr:spPr>
        <a:xfrm>
          <a:off x="2657475" y="4714875"/>
          <a:ext cx="1047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866775</xdr:colOff>
      <xdr:row>21</xdr:row>
      <xdr:rowOff>95250</xdr:rowOff>
    </xdr:from>
    <xdr:to>
      <xdr:col>3</xdr:col>
      <xdr:colOff>0</xdr:colOff>
      <xdr:row>22</xdr:row>
      <xdr:rowOff>9525</xdr:rowOff>
    </xdr:to>
    <xdr:sp>
      <xdr:nvSpPr>
        <xdr:cNvPr id="88" name="Oval 681"/>
        <xdr:cNvSpPr>
          <a:spLocks/>
        </xdr:cNvSpPr>
      </xdr:nvSpPr>
      <xdr:spPr>
        <a:xfrm>
          <a:off x="2676525" y="4800600"/>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21</xdr:row>
      <xdr:rowOff>85725</xdr:rowOff>
    </xdr:from>
    <xdr:to>
      <xdr:col>3</xdr:col>
      <xdr:colOff>114300</xdr:colOff>
      <xdr:row>22</xdr:row>
      <xdr:rowOff>9525</xdr:rowOff>
    </xdr:to>
    <xdr:sp>
      <xdr:nvSpPr>
        <xdr:cNvPr id="89" name="Oval 682"/>
        <xdr:cNvSpPr>
          <a:spLocks/>
        </xdr:cNvSpPr>
      </xdr:nvSpPr>
      <xdr:spPr>
        <a:xfrm>
          <a:off x="2781300" y="479107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21</xdr:row>
      <xdr:rowOff>104775</xdr:rowOff>
    </xdr:from>
    <xdr:to>
      <xdr:col>2</xdr:col>
      <xdr:colOff>771525</xdr:colOff>
      <xdr:row>22</xdr:row>
      <xdr:rowOff>9525</xdr:rowOff>
    </xdr:to>
    <xdr:sp>
      <xdr:nvSpPr>
        <xdr:cNvPr id="90" name="Oval 683"/>
        <xdr:cNvSpPr>
          <a:spLocks/>
        </xdr:cNvSpPr>
      </xdr:nvSpPr>
      <xdr:spPr>
        <a:xfrm>
          <a:off x="2495550" y="4810125"/>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21</xdr:row>
      <xdr:rowOff>0</xdr:rowOff>
    </xdr:from>
    <xdr:to>
      <xdr:col>2</xdr:col>
      <xdr:colOff>590550</xdr:colOff>
      <xdr:row>21</xdr:row>
      <xdr:rowOff>76200</xdr:rowOff>
    </xdr:to>
    <xdr:sp>
      <xdr:nvSpPr>
        <xdr:cNvPr id="91" name="Oval 684"/>
        <xdr:cNvSpPr>
          <a:spLocks/>
        </xdr:cNvSpPr>
      </xdr:nvSpPr>
      <xdr:spPr>
        <a:xfrm>
          <a:off x="2305050" y="470535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21</xdr:row>
      <xdr:rowOff>0</xdr:rowOff>
    </xdr:from>
    <xdr:to>
      <xdr:col>2</xdr:col>
      <xdr:colOff>857250</xdr:colOff>
      <xdr:row>21</xdr:row>
      <xdr:rowOff>85725</xdr:rowOff>
    </xdr:to>
    <xdr:sp>
      <xdr:nvSpPr>
        <xdr:cNvPr id="92" name="Oval 685"/>
        <xdr:cNvSpPr>
          <a:spLocks/>
        </xdr:cNvSpPr>
      </xdr:nvSpPr>
      <xdr:spPr>
        <a:xfrm>
          <a:off x="2571750" y="470535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21</xdr:row>
      <xdr:rowOff>66675</xdr:rowOff>
    </xdr:from>
    <xdr:to>
      <xdr:col>3</xdr:col>
      <xdr:colOff>28575</xdr:colOff>
      <xdr:row>21</xdr:row>
      <xdr:rowOff>142875</xdr:rowOff>
    </xdr:to>
    <xdr:sp>
      <xdr:nvSpPr>
        <xdr:cNvPr id="93" name="Oval 686"/>
        <xdr:cNvSpPr>
          <a:spLocks/>
        </xdr:cNvSpPr>
      </xdr:nvSpPr>
      <xdr:spPr>
        <a:xfrm>
          <a:off x="2724150" y="47720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28</xdr:row>
      <xdr:rowOff>0</xdr:rowOff>
    </xdr:from>
    <xdr:to>
      <xdr:col>7</xdr:col>
      <xdr:colOff>304800</xdr:colOff>
      <xdr:row>28</xdr:row>
      <xdr:rowOff>76200</xdr:rowOff>
    </xdr:to>
    <xdr:sp>
      <xdr:nvSpPr>
        <xdr:cNvPr id="94" name="Oval 687"/>
        <xdr:cNvSpPr>
          <a:spLocks/>
        </xdr:cNvSpPr>
      </xdr:nvSpPr>
      <xdr:spPr>
        <a:xfrm>
          <a:off x="6924675" y="60769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28</xdr:row>
      <xdr:rowOff>104775</xdr:rowOff>
    </xdr:from>
    <xdr:to>
      <xdr:col>7</xdr:col>
      <xdr:colOff>209550</xdr:colOff>
      <xdr:row>28</xdr:row>
      <xdr:rowOff>180975</xdr:rowOff>
    </xdr:to>
    <xdr:sp>
      <xdr:nvSpPr>
        <xdr:cNvPr id="95" name="Oval 688"/>
        <xdr:cNvSpPr>
          <a:spLocks/>
        </xdr:cNvSpPr>
      </xdr:nvSpPr>
      <xdr:spPr>
        <a:xfrm>
          <a:off x="6829425" y="61817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123825</xdr:rowOff>
    </xdr:from>
    <xdr:to>
      <xdr:col>7</xdr:col>
      <xdr:colOff>285750</xdr:colOff>
      <xdr:row>29</xdr:row>
      <xdr:rowOff>28575</xdr:rowOff>
    </xdr:to>
    <xdr:sp>
      <xdr:nvSpPr>
        <xdr:cNvPr id="96" name="Oval 689"/>
        <xdr:cNvSpPr>
          <a:spLocks/>
        </xdr:cNvSpPr>
      </xdr:nvSpPr>
      <xdr:spPr>
        <a:xfrm>
          <a:off x="6867525" y="6200775"/>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21</xdr:row>
      <xdr:rowOff>161925</xdr:rowOff>
    </xdr:from>
    <xdr:to>
      <xdr:col>4</xdr:col>
      <xdr:colOff>28575</xdr:colOff>
      <xdr:row>22</xdr:row>
      <xdr:rowOff>85725</xdr:rowOff>
    </xdr:to>
    <xdr:sp>
      <xdr:nvSpPr>
        <xdr:cNvPr id="97" name="Oval 690"/>
        <xdr:cNvSpPr>
          <a:spLocks/>
        </xdr:cNvSpPr>
      </xdr:nvSpPr>
      <xdr:spPr>
        <a:xfrm>
          <a:off x="3657600" y="486727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29</xdr:row>
      <xdr:rowOff>57150</xdr:rowOff>
    </xdr:from>
    <xdr:to>
      <xdr:col>7</xdr:col>
      <xdr:colOff>142875</xdr:colOff>
      <xdr:row>29</xdr:row>
      <xdr:rowOff>152400</xdr:rowOff>
    </xdr:to>
    <xdr:sp>
      <xdr:nvSpPr>
        <xdr:cNvPr id="98" name="Oval 691"/>
        <xdr:cNvSpPr>
          <a:spLocks/>
        </xdr:cNvSpPr>
      </xdr:nvSpPr>
      <xdr:spPr>
        <a:xfrm>
          <a:off x="6762750" y="6324600"/>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25</xdr:row>
      <xdr:rowOff>66675</xdr:rowOff>
    </xdr:from>
    <xdr:to>
      <xdr:col>4</xdr:col>
      <xdr:colOff>904875</xdr:colOff>
      <xdr:row>25</xdr:row>
      <xdr:rowOff>180975</xdr:rowOff>
    </xdr:to>
    <xdr:sp>
      <xdr:nvSpPr>
        <xdr:cNvPr id="99" name="Oval 692"/>
        <xdr:cNvSpPr>
          <a:spLocks/>
        </xdr:cNvSpPr>
      </xdr:nvSpPr>
      <xdr:spPr>
        <a:xfrm>
          <a:off x="4562475" y="5572125"/>
          <a:ext cx="762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26</xdr:row>
      <xdr:rowOff>85725</xdr:rowOff>
    </xdr:from>
    <xdr:to>
      <xdr:col>5</xdr:col>
      <xdr:colOff>142875</xdr:colOff>
      <xdr:row>26</xdr:row>
      <xdr:rowOff>190500</xdr:rowOff>
    </xdr:to>
    <xdr:sp>
      <xdr:nvSpPr>
        <xdr:cNvPr id="100" name="Oval 693"/>
        <xdr:cNvSpPr>
          <a:spLocks/>
        </xdr:cNvSpPr>
      </xdr:nvSpPr>
      <xdr:spPr>
        <a:xfrm>
          <a:off x="4819650" y="5781675"/>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28</xdr:row>
      <xdr:rowOff>123825</xdr:rowOff>
    </xdr:from>
    <xdr:to>
      <xdr:col>7</xdr:col>
      <xdr:colOff>133350</xdr:colOff>
      <xdr:row>28</xdr:row>
      <xdr:rowOff>180975</xdr:rowOff>
    </xdr:to>
    <xdr:sp>
      <xdr:nvSpPr>
        <xdr:cNvPr id="101" name="Oval 694"/>
        <xdr:cNvSpPr>
          <a:spLocks/>
        </xdr:cNvSpPr>
      </xdr:nvSpPr>
      <xdr:spPr>
        <a:xfrm>
          <a:off x="6781800" y="6200775"/>
          <a:ext cx="476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23</xdr:row>
      <xdr:rowOff>123825</xdr:rowOff>
    </xdr:from>
    <xdr:to>
      <xdr:col>4</xdr:col>
      <xdr:colOff>447675</xdr:colOff>
      <xdr:row>24</xdr:row>
      <xdr:rowOff>19050</xdr:rowOff>
    </xdr:to>
    <xdr:sp>
      <xdr:nvSpPr>
        <xdr:cNvPr id="102" name="Oval 695"/>
        <xdr:cNvSpPr>
          <a:spLocks/>
        </xdr:cNvSpPr>
      </xdr:nvSpPr>
      <xdr:spPr>
        <a:xfrm>
          <a:off x="4105275" y="52482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29</xdr:row>
      <xdr:rowOff>66675</xdr:rowOff>
    </xdr:from>
    <xdr:to>
      <xdr:col>6</xdr:col>
      <xdr:colOff>76200</xdr:colOff>
      <xdr:row>29</xdr:row>
      <xdr:rowOff>180975</xdr:rowOff>
    </xdr:to>
    <xdr:sp>
      <xdr:nvSpPr>
        <xdr:cNvPr id="103" name="Oval 696"/>
        <xdr:cNvSpPr>
          <a:spLocks/>
        </xdr:cNvSpPr>
      </xdr:nvSpPr>
      <xdr:spPr>
        <a:xfrm>
          <a:off x="5753100" y="6334125"/>
          <a:ext cx="571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29</xdr:row>
      <xdr:rowOff>0</xdr:rowOff>
    </xdr:from>
    <xdr:to>
      <xdr:col>7</xdr:col>
      <xdr:colOff>257175</xdr:colOff>
      <xdr:row>29</xdr:row>
      <xdr:rowOff>66675</xdr:rowOff>
    </xdr:to>
    <xdr:sp>
      <xdr:nvSpPr>
        <xdr:cNvPr id="104" name="Oval 697"/>
        <xdr:cNvSpPr>
          <a:spLocks/>
        </xdr:cNvSpPr>
      </xdr:nvSpPr>
      <xdr:spPr>
        <a:xfrm>
          <a:off x="6867525" y="6267450"/>
          <a:ext cx="85725"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22</xdr:row>
      <xdr:rowOff>76200</xdr:rowOff>
    </xdr:from>
    <xdr:to>
      <xdr:col>4</xdr:col>
      <xdr:colOff>38100</xdr:colOff>
      <xdr:row>22</xdr:row>
      <xdr:rowOff>114300</xdr:rowOff>
    </xdr:to>
    <xdr:sp>
      <xdr:nvSpPr>
        <xdr:cNvPr id="105" name="Oval 698"/>
        <xdr:cNvSpPr>
          <a:spLocks/>
        </xdr:cNvSpPr>
      </xdr:nvSpPr>
      <xdr:spPr>
        <a:xfrm>
          <a:off x="3714750" y="4991100"/>
          <a:ext cx="5715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27</xdr:row>
      <xdr:rowOff>76200</xdr:rowOff>
    </xdr:from>
    <xdr:to>
      <xdr:col>5</xdr:col>
      <xdr:colOff>314325</xdr:colOff>
      <xdr:row>27</xdr:row>
      <xdr:rowOff>152400</xdr:rowOff>
    </xdr:to>
    <xdr:sp>
      <xdr:nvSpPr>
        <xdr:cNvPr id="106" name="Oval 699"/>
        <xdr:cNvSpPr>
          <a:spLocks/>
        </xdr:cNvSpPr>
      </xdr:nvSpPr>
      <xdr:spPr>
        <a:xfrm>
          <a:off x="5048250" y="5972175"/>
          <a:ext cx="381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26</xdr:row>
      <xdr:rowOff>114300</xdr:rowOff>
    </xdr:from>
    <xdr:to>
      <xdr:col>5</xdr:col>
      <xdr:colOff>295275</xdr:colOff>
      <xdr:row>26</xdr:row>
      <xdr:rowOff>171450</xdr:rowOff>
    </xdr:to>
    <xdr:sp>
      <xdr:nvSpPr>
        <xdr:cNvPr id="107" name="Oval 700"/>
        <xdr:cNvSpPr>
          <a:spLocks/>
        </xdr:cNvSpPr>
      </xdr:nvSpPr>
      <xdr:spPr>
        <a:xfrm>
          <a:off x="5029200" y="5810250"/>
          <a:ext cx="3810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28</xdr:row>
      <xdr:rowOff>123825</xdr:rowOff>
    </xdr:from>
    <xdr:to>
      <xdr:col>5</xdr:col>
      <xdr:colOff>904875</xdr:colOff>
      <xdr:row>28</xdr:row>
      <xdr:rowOff>161925</xdr:rowOff>
    </xdr:to>
    <xdr:sp>
      <xdr:nvSpPr>
        <xdr:cNvPr id="108" name="Oval 701"/>
        <xdr:cNvSpPr>
          <a:spLocks/>
        </xdr:cNvSpPr>
      </xdr:nvSpPr>
      <xdr:spPr>
        <a:xfrm>
          <a:off x="5619750" y="6200775"/>
          <a:ext cx="5715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23</xdr:row>
      <xdr:rowOff>180975</xdr:rowOff>
    </xdr:from>
    <xdr:to>
      <xdr:col>4</xdr:col>
      <xdr:colOff>533400</xdr:colOff>
      <xdr:row>24</xdr:row>
      <xdr:rowOff>76200</xdr:rowOff>
    </xdr:to>
    <xdr:sp>
      <xdr:nvSpPr>
        <xdr:cNvPr id="109" name="Oval 702"/>
        <xdr:cNvSpPr>
          <a:spLocks/>
        </xdr:cNvSpPr>
      </xdr:nvSpPr>
      <xdr:spPr>
        <a:xfrm>
          <a:off x="4191000" y="5305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24</xdr:row>
      <xdr:rowOff>66675</xdr:rowOff>
    </xdr:from>
    <xdr:to>
      <xdr:col>4</xdr:col>
      <xdr:colOff>485775</xdr:colOff>
      <xdr:row>26</xdr:row>
      <xdr:rowOff>123825</xdr:rowOff>
    </xdr:to>
    <xdr:sp>
      <xdr:nvSpPr>
        <xdr:cNvPr id="110" name="Line 703"/>
        <xdr:cNvSpPr>
          <a:spLocks/>
        </xdr:cNvSpPr>
      </xdr:nvSpPr>
      <xdr:spPr>
        <a:xfrm flipV="1">
          <a:off x="4000500" y="5372100"/>
          <a:ext cx="219075" cy="4476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23</xdr:row>
      <xdr:rowOff>114300</xdr:rowOff>
    </xdr:from>
    <xdr:to>
      <xdr:col>4</xdr:col>
      <xdr:colOff>504825</xdr:colOff>
      <xdr:row>24</xdr:row>
      <xdr:rowOff>9525</xdr:rowOff>
    </xdr:to>
    <xdr:sp>
      <xdr:nvSpPr>
        <xdr:cNvPr id="111" name="Oval 704"/>
        <xdr:cNvSpPr>
          <a:spLocks/>
        </xdr:cNvSpPr>
      </xdr:nvSpPr>
      <xdr:spPr>
        <a:xfrm>
          <a:off x="4162425" y="52387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23</xdr:row>
      <xdr:rowOff>57150</xdr:rowOff>
    </xdr:from>
    <xdr:to>
      <xdr:col>4</xdr:col>
      <xdr:colOff>514350</xdr:colOff>
      <xdr:row>23</xdr:row>
      <xdr:rowOff>133350</xdr:rowOff>
    </xdr:to>
    <xdr:sp>
      <xdr:nvSpPr>
        <xdr:cNvPr id="112" name="Oval 705"/>
        <xdr:cNvSpPr>
          <a:spLocks/>
        </xdr:cNvSpPr>
      </xdr:nvSpPr>
      <xdr:spPr>
        <a:xfrm>
          <a:off x="4162425" y="5181600"/>
          <a:ext cx="8572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23</xdr:row>
      <xdr:rowOff>57150</xdr:rowOff>
    </xdr:from>
    <xdr:to>
      <xdr:col>4</xdr:col>
      <xdr:colOff>666750</xdr:colOff>
      <xdr:row>23</xdr:row>
      <xdr:rowOff>171450</xdr:rowOff>
    </xdr:to>
    <xdr:sp>
      <xdr:nvSpPr>
        <xdr:cNvPr id="113" name="Oval 706"/>
        <xdr:cNvSpPr>
          <a:spLocks/>
        </xdr:cNvSpPr>
      </xdr:nvSpPr>
      <xdr:spPr>
        <a:xfrm>
          <a:off x="4238625" y="5181600"/>
          <a:ext cx="1619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23</xdr:row>
      <xdr:rowOff>142875</xdr:rowOff>
    </xdr:from>
    <xdr:to>
      <xdr:col>4</xdr:col>
      <xdr:colOff>590550</xdr:colOff>
      <xdr:row>24</xdr:row>
      <xdr:rowOff>28575</xdr:rowOff>
    </xdr:to>
    <xdr:sp>
      <xdr:nvSpPr>
        <xdr:cNvPr id="114" name="Oval 707"/>
        <xdr:cNvSpPr>
          <a:spLocks/>
        </xdr:cNvSpPr>
      </xdr:nvSpPr>
      <xdr:spPr>
        <a:xfrm>
          <a:off x="4229100" y="5267325"/>
          <a:ext cx="9525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22</xdr:row>
      <xdr:rowOff>161925</xdr:rowOff>
    </xdr:from>
    <xdr:to>
      <xdr:col>4</xdr:col>
      <xdr:colOff>542925</xdr:colOff>
      <xdr:row>23</xdr:row>
      <xdr:rowOff>66675</xdr:rowOff>
    </xdr:to>
    <xdr:sp>
      <xdr:nvSpPr>
        <xdr:cNvPr id="115" name="Oval 708"/>
        <xdr:cNvSpPr>
          <a:spLocks/>
        </xdr:cNvSpPr>
      </xdr:nvSpPr>
      <xdr:spPr>
        <a:xfrm>
          <a:off x="4181475" y="5076825"/>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23</xdr:row>
      <xdr:rowOff>19050</xdr:rowOff>
    </xdr:from>
    <xdr:to>
      <xdr:col>4</xdr:col>
      <xdr:colOff>600075</xdr:colOff>
      <xdr:row>23</xdr:row>
      <xdr:rowOff>95250</xdr:rowOff>
    </xdr:to>
    <xdr:sp>
      <xdr:nvSpPr>
        <xdr:cNvPr id="116" name="Oval 709"/>
        <xdr:cNvSpPr>
          <a:spLocks/>
        </xdr:cNvSpPr>
      </xdr:nvSpPr>
      <xdr:spPr>
        <a:xfrm>
          <a:off x="4257675" y="51435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18</xdr:row>
      <xdr:rowOff>76200</xdr:rowOff>
    </xdr:from>
    <xdr:to>
      <xdr:col>1</xdr:col>
      <xdr:colOff>714375</xdr:colOff>
      <xdr:row>19</xdr:row>
      <xdr:rowOff>190500</xdr:rowOff>
    </xdr:to>
    <xdr:sp>
      <xdr:nvSpPr>
        <xdr:cNvPr id="117" name="Rectangle 710"/>
        <xdr:cNvSpPr>
          <a:spLocks/>
        </xdr:cNvSpPr>
      </xdr:nvSpPr>
      <xdr:spPr>
        <a:xfrm>
          <a:off x="638175" y="4152900"/>
          <a:ext cx="819150" cy="3238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Upstream</a:t>
          </a:r>
        </a:p>
      </xdr:txBody>
    </xdr:sp>
    <xdr:clientData/>
  </xdr:twoCellAnchor>
  <xdr:twoCellAnchor>
    <xdr:from>
      <xdr:col>8</xdr:col>
      <xdr:colOff>438150</xdr:colOff>
      <xdr:row>25</xdr:row>
      <xdr:rowOff>152400</xdr:rowOff>
    </xdr:from>
    <xdr:to>
      <xdr:col>9</xdr:col>
      <xdr:colOff>561975</xdr:colOff>
      <xdr:row>27</xdr:row>
      <xdr:rowOff>161925</xdr:rowOff>
    </xdr:to>
    <xdr:sp>
      <xdr:nvSpPr>
        <xdr:cNvPr id="118" name="Rectangle 711"/>
        <xdr:cNvSpPr>
          <a:spLocks/>
        </xdr:cNvSpPr>
      </xdr:nvSpPr>
      <xdr:spPr>
        <a:xfrm>
          <a:off x="8096250" y="5657850"/>
          <a:ext cx="1085850" cy="4000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Downstream</a:t>
          </a:r>
        </a:p>
      </xdr:txBody>
    </xdr:sp>
    <xdr:clientData/>
  </xdr:twoCellAnchor>
  <xdr:twoCellAnchor>
    <xdr:from>
      <xdr:col>1</xdr:col>
      <xdr:colOff>133350</xdr:colOff>
      <xdr:row>19</xdr:row>
      <xdr:rowOff>28575</xdr:rowOff>
    </xdr:from>
    <xdr:to>
      <xdr:col>1</xdr:col>
      <xdr:colOff>828675</xdr:colOff>
      <xdr:row>20</xdr:row>
      <xdr:rowOff>38100</xdr:rowOff>
    </xdr:to>
    <xdr:sp>
      <xdr:nvSpPr>
        <xdr:cNvPr id="119" name="Rectangle 712"/>
        <xdr:cNvSpPr>
          <a:spLocks/>
        </xdr:cNvSpPr>
      </xdr:nvSpPr>
      <xdr:spPr>
        <a:xfrm>
          <a:off x="876300" y="4314825"/>
          <a:ext cx="695325" cy="2190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Channel</a:t>
          </a:r>
        </a:p>
      </xdr:txBody>
    </xdr:sp>
    <xdr:clientData/>
  </xdr:twoCellAnchor>
  <xdr:twoCellAnchor>
    <xdr:from>
      <xdr:col>8</xdr:col>
      <xdr:colOff>447675</xdr:colOff>
      <xdr:row>26</xdr:row>
      <xdr:rowOff>133350</xdr:rowOff>
    </xdr:from>
    <xdr:to>
      <xdr:col>9</xdr:col>
      <xdr:colOff>276225</xdr:colOff>
      <xdr:row>28</xdr:row>
      <xdr:rowOff>123825</xdr:rowOff>
    </xdr:to>
    <xdr:sp>
      <xdr:nvSpPr>
        <xdr:cNvPr id="120" name="Rectangle 713"/>
        <xdr:cNvSpPr>
          <a:spLocks/>
        </xdr:cNvSpPr>
      </xdr:nvSpPr>
      <xdr:spPr>
        <a:xfrm>
          <a:off x="8105775" y="5829300"/>
          <a:ext cx="790575" cy="3714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Channel</a:t>
          </a:r>
        </a:p>
      </xdr:txBody>
    </xdr:sp>
    <xdr:clientData/>
  </xdr:twoCellAnchor>
  <xdr:twoCellAnchor>
    <xdr:from>
      <xdr:col>7</xdr:col>
      <xdr:colOff>438150</xdr:colOff>
      <xdr:row>29</xdr:row>
      <xdr:rowOff>133350</xdr:rowOff>
    </xdr:from>
    <xdr:to>
      <xdr:col>7</xdr:col>
      <xdr:colOff>695325</xdr:colOff>
      <xdr:row>30</xdr:row>
      <xdr:rowOff>104775</xdr:rowOff>
    </xdr:to>
    <xdr:sp>
      <xdr:nvSpPr>
        <xdr:cNvPr id="121" name="Freeform 714"/>
        <xdr:cNvSpPr>
          <a:spLocks/>
        </xdr:cNvSpPr>
      </xdr:nvSpPr>
      <xdr:spPr>
        <a:xfrm>
          <a:off x="7134225" y="6400800"/>
          <a:ext cx="257175" cy="161925"/>
        </a:xfrm>
        <a:custGeom>
          <a:pathLst>
            <a:path h="18" w="27">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981075</xdr:colOff>
      <xdr:row>27</xdr:row>
      <xdr:rowOff>104775</xdr:rowOff>
    </xdr:from>
    <xdr:to>
      <xdr:col>5</xdr:col>
      <xdr:colOff>152400</xdr:colOff>
      <xdr:row>28</xdr:row>
      <xdr:rowOff>133350</xdr:rowOff>
    </xdr:to>
    <xdr:sp>
      <xdr:nvSpPr>
        <xdr:cNvPr id="122" name="Text Box 715"/>
        <xdr:cNvSpPr txBox="1">
          <a:spLocks noChangeArrowheads="1"/>
        </xdr:cNvSpPr>
      </xdr:nvSpPr>
      <xdr:spPr>
        <a:xfrm>
          <a:off x="4714875" y="6000750"/>
          <a:ext cx="209550" cy="2095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a:t>
          </a:r>
        </a:p>
      </xdr:txBody>
    </xdr:sp>
    <xdr:clientData/>
  </xdr:twoCellAnchor>
  <xdr:twoCellAnchor>
    <xdr:from>
      <xdr:col>2</xdr:col>
      <xdr:colOff>695325</xdr:colOff>
      <xdr:row>26</xdr:row>
      <xdr:rowOff>152400</xdr:rowOff>
    </xdr:from>
    <xdr:to>
      <xdr:col>3</xdr:col>
      <xdr:colOff>514350</xdr:colOff>
      <xdr:row>27</xdr:row>
      <xdr:rowOff>171450</xdr:rowOff>
    </xdr:to>
    <xdr:sp>
      <xdr:nvSpPr>
        <xdr:cNvPr id="123" name="Text Box 716"/>
        <xdr:cNvSpPr txBox="1">
          <a:spLocks noChangeArrowheads="1"/>
        </xdr:cNvSpPr>
      </xdr:nvSpPr>
      <xdr:spPr>
        <a:xfrm>
          <a:off x="2505075" y="5848350"/>
          <a:ext cx="7810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Geotextile</a:t>
          </a:r>
        </a:p>
      </xdr:txBody>
    </xdr:sp>
    <xdr:clientData/>
  </xdr:twoCellAnchor>
  <xdr:twoCellAnchor>
    <xdr:from>
      <xdr:col>4</xdr:col>
      <xdr:colOff>95250</xdr:colOff>
      <xdr:row>26</xdr:row>
      <xdr:rowOff>123825</xdr:rowOff>
    </xdr:from>
    <xdr:to>
      <xdr:col>4</xdr:col>
      <xdr:colOff>266700</xdr:colOff>
      <xdr:row>27</xdr:row>
      <xdr:rowOff>66675</xdr:rowOff>
    </xdr:to>
    <xdr:sp>
      <xdr:nvSpPr>
        <xdr:cNvPr id="124" name="Freeform 717"/>
        <xdr:cNvSpPr>
          <a:spLocks/>
        </xdr:cNvSpPr>
      </xdr:nvSpPr>
      <xdr:spPr>
        <a:xfrm>
          <a:off x="3829050" y="5819775"/>
          <a:ext cx="171450" cy="142875"/>
        </a:xfrm>
        <a:custGeom>
          <a:pathLst>
            <a:path h="12" w="18">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21</xdr:row>
      <xdr:rowOff>0</xdr:rowOff>
    </xdr:from>
    <xdr:to>
      <xdr:col>4</xdr:col>
      <xdr:colOff>190500</xdr:colOff>
      <xdr:row>21</xdr:row>
      <xdr:rowOff>142875</xdr:rowOff>
    </xdr:to>
    <xdr:sp>
      <xdr:nvSpPr>
        <xdr:cNvPr id="125" name="Freeform 718"/>
        <xdr:cNvSpPr>
          <a:spLocks/>
        </xdr:cNvSpPr>
      </xdr:nvSpPr>
      <xdr:spPr>
        <a:xfrm>
          <a:off x="3400425" y="4705350"/>
          <a:ext cx="523875" cy="142875"/>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22</xdr:row>
      <xdr:rowOff>9525</xdr:rowOff>
    </xdr:from>
    <xdr:to>
      <xdr:col>4</xdr:col>
      <xdr:colOff>76200</xdr:colOff>
      <xdr:row>22</xdr:row>
      <xdr:rowOff>161925</xdr:rowOff>
    </xdr:to>
    <xdr:sp>
      <xdr:nvSpPr>
        <xdr:cNvPr id="126" name="Freeform 719"/>
        <xdr:cNvSpPr>
          <a:spLocks/>
        </xdr:cNvSpPr>
      </xdr:nvSpPr>
      <xdr:spPr>
        <a:xfrm>
          <a:off x="3295650" y="4924425"/>
          <a:ext cx="514350" cy="161925"/>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22</xdr:row>
      <xdr:rowOff>57150</xdr:rowOff>
    </xdr:from>
    <xdr:to>
      <xdr:col>3</xdr:col>
      <xdr:colOff>809625</xdr:colOff>
      <xdr:row>24</xdr:row>
      <xdr:rowOff>114300</xdr:rowOff>
    </xdr:to>
    <xdr:sp>
      <xdr:nvSpPr>
        <xdr:cNvPr id="127" name="Line 720"/>
        <xdr:cNvSpPr>
          <a:spLocks/>
        </xdr:cNvSpPr>
      </xdr:nvSpPr>
      <xdr:spPr>
        <a:xfrm flipV="1">
          <a:off x="3486150" y="4972050"/>
          <a:ext cx="95250" cy="4476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36</xdr:row>
      <xdr:rowOff>19050</xdr:rowOff>
    </xdr:from>
    <xdr:to>
      <xdr:col>7</xdr:col>
      <xdr:colOff>933450</xdr:colOff>
      <xdr:row>37</xdr:row>
      <xdr:rowOff>28575</xdr:rowOff>
    </xdr:to>
    <xdr:sp>
      <xdr:nvSpPr>
        <xdr:cNvPr id="128" name="Rectangle 733"/>
        <xdr:cNvSpPr>
          <a:spLocks/>
        </xdr:cNvSpPr>
      </xdr:nvSpPr>
      <xdr:spPr>
        <a:xfrm>
          <a:off x="7172325" y="7639050"/>
          <a:ext cx="457200" cy="2000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Berm</a:t>
          </a:r>
        </a:p>
      </xdr:txBody>
    </xdr:sp>
    <xdr:clientData/>
  </xdr:twoCellAnchor>
  <xdr:twoCellAnchor>
    <xdr:from>
      <xdr:col>5</xdr:col>
      <xdr:colOff>914400</xdr:colOff>
      <xdr:row>41</xdr:row>
      <xdr:rowOff>104775</xdr:rowOff>
    </xdr:from>
    <xdr:to>
      <xdr:col>6</xdr:col>
      <xdr:colOff>914400</xdr:colOff>
      <xdr:row>41</xdr:row>
      <xdr:rowOff>104775</xdr:rowOff>
    </xdr:to>
    <xdr:sp>
      <xdr:nvSpPr>
        <xdr:cNvPr id="129" name="Line 734"/>
        <xdr:cNvSpPr>
          <a:spLocks/>
        </xdr:cNvSpPr>
      </xdr:nvSpPr>
      <xdr:spPr>
        <a:xfrm>
          <a:off x="5686425" y="8658225"/>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37</xdr:row>
      <xdr:rowOff>19050</xdr:rowOff>
    </xdr:from>
    <xdr:to>
      <xdr:col>7</xdr:col>
      <xdr:colOff>400050</xdr:colOff>
      <xdr:row>41</xdr:row>
      <xdr:rowOff>104775</xdr:rowOff>
    </xdr:to>
    <xdr:sp>
      <xdr:nvSpPr>
        <xdr:cNvPr id="130" name="Line 735"/>
        <xdr:cNvSpPr>
          <a:spLocks/>
        </xdr:cNvSpPr>
      </xdr:nvSpPr>
      <xdr:spPr>
        <a:xfrm flipV="1">
          <a:off x="6648450" y="7829550"/>
          <a:ext cx="447675" cy="828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37</xdr:row>
      <xdr:rowOff>19050</xdr:rowOff>
    </xdr:from>
    <xdr:to>
      <xdr:col>5</xdr:col>
      <xdr:colOff>914400</xdr:colOff>
      <xdr:row>41</xdr:row>
      <xdr:rowOff>104775</xdr:rowOff>
    </xdr:to>
    <xdr:sp>
      <xdr:nvSpPr>
        <xdr:cNvPr id="131" name="Line 736"/>
        <xdr:cNvSpPr>
          <a:spLocks/>
        </xdr:cNvSpPr>
      </xdr:nvSpPr>
      <xdr:spPr>
        <a:xfrm flipH="1" flipV="1">
          <a:off x="5286375" y="7829550"/>
          <a:ext cx="400050" cy="828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38</xdr:row>
      <xdr:rowOff>66675</xdr:rowOff>
    </xdr:from>
    <xdr:to>
      <xdr:col>5</xdr:col>
      <xdr:colOff>628650</xdr:colOff>
      <xdr:row>38</xdr:row>
      <xdr:rowOff>66675</xdr:rowOff>
    </xdr:to>
    <xdr:sp>
      <xdr:nvSpPr>
        <xdr:cNvPr id="132" name="Line 737"/>
        <xdr:cNvSpPr>
          <a:spLocks/>
        </xdr:cNvSpPr>
      </xdr:nvSpPr>
      <xdr:spPr>
        <a:xfrm flipH="1">
          <a:off x="5095875" y="8058150"/>
          <a:ext cx="304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38</xdr:row>
      <xdr:rowOff>66675</xdr:rowOff>
    </xdr:from>
    <xdr:to>
      <xdr:col>7</xdr:col>
      <xdr:colOff>590550</xdr:colOff>
      <xdr:row>38</xdr:row>
      <xdr:rowOff>66675</xdr:rowOff>
    </xdr:to>
    <xdr:sp>
      <xdr:nvSpPr>
        <xdr:cNvPr id="133" name="Line 738"/>
        <xdr:cNvSpPr>
          <a:spLocks/>
        </xdr:cNvSpPr>
      </xdr:nvSpPr>
      <xdr:spPr>
        <a:xfrm>
          <a:off x="6972300" y="8058150"/>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38</xdr:row>
      <xdr:rowOff>66675</xdr:rowOff>
    </xdr:from>
    <xdr:to>
      <xdr:col>5</xdr:col>
      <xdr:colOff>847725</xdr:colOff>
      <xdr:row>42</xdr:row>
      <xdr:rowOff>114300</xdr:rowOff>
    </xdr:to>
    <xdr:sp>
      <xdr:nvSpPr>
        <xdr:cNvPr id="134" name="Line 739"/>
        <xdr:cNvSpPr>
          <a:spLocks/>
        </xdr:cNvSpPr>
      </xdr:nvSpPr>
      <xdr:spPr>
        <a:xfrm>
          <a:off x="5191125" y="8058150"/>
          <a:ext cx="42862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42</xdr:row>
      <xdr:rowOff>114300</xdr:rowOff>
    </xdr:from>
    <xdr:to>
      <xdr:col>7</xdr:col>
      <xdr:colOff>47625</xdr:colOff>
      <xdr:row>42</xdr:row>
      <xdr:rowOff>114300</xdr:rowOff>
    </xdr:to>
    <xdr:sp>
      <xdr:nvSpPr>
        <xdr:cNvPr id="135" name="Line 740"/>
        <xdr:cNvSpPr>
          <a:spLocks/>
        </xdr:cNvSpPr>
      </xdr:nvSpPr>
      <xdr:spPr>
        <a:xfrm>
          <a:off x="5619750" y="8858250"/>
          <a:ext cx="1123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38</xdr:row>
      <xdr:rowOff>66675</xdr:rowOff>
    </xdr:from>
    <xdr:to>
      <xdr:col>7</xdr:col>
      <xdr:colOff>495300</xdr:colOff>
      <xdr:row>42</xdr:row>
      <xdr:rowOff>114300</xdr:rowOff>
    </xdr:to>
    <xdr:sp>
      <xdr:nvSpPr>
        <xdr:cNvPr id="136" name="Line 741"/>
        <xdr:cNvSpPr>
          <a:spLocks/>
        </xdr:cNvSpPr>
      </xdr:nvSpPr>
      <xdr:spPr>
        <a:xfrm flipV="1">
          <a:off x="6734175" y="8058150"/>
          <a:ext cx="457200"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37</xdr:row>
      <xdr:rowOff>19050</xdr:rowOff>
    </xdr:from>
    <xdr:to>
      <xdr:col>5</xdr:col>
      <xdr:colOff>514350</xdr:colOff>
      <xdr:row>37</xdr:row>
      <xdr:rowOff>19050</xdr:rowOff>
    </xdr:to>
    <xdr:sp>
      <xdr:nvSpPr>
        <xdr:cNvPr id="137" name="Line 742"/>
        <xdr:cNvSpPr>
          <a:spLocks/>
        </xdr:cNvSpPr>
      </xdr:nvSpPr>
      <xdr:spPr>
        <a:xfrm flipH="1">
          <a:off x="4953000" y="7829550"/>
          <a:ext cx="333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37</xdr:row>
      <xdr:rowOff>19050</xdr:rowOff>
    </xdr:from>
    <xdr:to>
      <xdr:col>7</xdr:col>
      <xdr:colOff>933450</xdr:colOff>
      <xdr:row>37</xdr:row>
      <xdr:rowOff>19050</xdr:rowOff>
    </xdr:to>
    <xdr:sp>
      <xdr:nvSpPr>
        <xdr:cNvPr id="138" name="Line 743"/>
        <xdr:cNvSpPr>
          <a:spLocks/>
        </xdr:cNvSpPr>
      </xdr:nvSpPr>
      <xdr:spPr>
        <a:xfrm>
          <a:off x="7096125" y="7829550"/>
          <a:ext cx="533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38</xdr:row>
      <xdr:rowOff>76200</xdr:rowOff>
    </xdr:from>
    <xdr:to>
      <xdr:col>6</xdr:col>
      <xdr:colOff>38100</xdr:colOff>
      <xdr:row>38</xdr:row>
      <xdr:rowOff>76200</xdr:rowOff>
    </xdr:to>
    <xdr:sp>
      <xdr:nvSpPr>
        <xdr:cNvPr id="139" name="Line 744"/>
        <xdr:cNvSpPr>
          <a:spLocks/>
        </xdr:cNvSpPr>
      </xdr:nvSpPr>
      <xdr:spPr>
        <a:xfrm>
          <a:off x="5438775" y="8067675"/>
          <a:ext cx="333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35</xdr:row>
      <xdr:rowOff>142875</xdr:rowOff>
    </xdr:from>
    <xdr:to>
      <xdr:col>5</xdr:col>
      <xdr:colOff>247650</xdr:colOff>
      <xdr:row>37</xdr:row>
      <xdr:rowOff>19050</xdr:rowOff>
    </xdr:to>
    <xdr:sp>
      <xdr:nvSpPr>
        <xdr:cNvPr id="140" name="Line 745"/>
        <xdr:cNvSpPr>
          <a:spLocks/>
        </xdr:cNvSpPr>
      </xdr:nvSpPr>
      <xdr:spPr>
        <a:xfrm flipV="1">
          <a:off x="5019675" y="7581900"/>
          <a:ext cx="0" cy="2476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38</xdr:row>
      <xdr:rowOff>76200</xdr:rowOff>
    </xdr:from>
    <xdr:to>
      <xdr:col>6</xdr:col>
      <xdr:colOff>19050</xdr:colOff>
      <xdr:row>41</xdr:row>
      <xdr:rowOff>104775</xdr:rowOff>
    </xdr:to>
    <xdr:sp>
      <xdr:nvSpPr>
        <xdr:cNvPr id="141" name="Line 746"/>
        <xdr:cNvSpPr>
          <a:spLocks/>
        </xdr:cNvSpPr>
      </xdr:nvSpPr>
      <xdr:spPr>
        <a:xfrm>
          <a:off x="5753100" y="8067675"/>
          <a:ext cx="0" cy="5905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39</xdr:row>
      <xdr:rowOff>104775</xdr:rowOff>
    </xdr:from>
    <xdr:to>
      <xdr:col>5</xdr:col>
      <xdr:colOff>123825</xdr:colOff>
      <xdr:row>39</xdr:row>
      <xdr:rowOff>104775</xdr:rowOff>
    </xdr:to>
    <xdr:sp>
      <xdr:nvSpPr>
        <xdr:cNvPr id="142" name="Line 747"/>
        <xdr:cNvSpPr>
          <a:spLocks/>
        </xdr:cNvSpPr>
      </xdr:nvSpPr>
      <xdr:spPr>
        <a:xfrm>
          <a:off x="4791075" y="8277225"/>
          <a:ext cx="104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904875</xdr:colOff>
      <xdr:row>43</xdr:row>
      <xdr:rowOff>38100</xdr:rowOff>
    </xdr:from>
    <xdr:to>
      <xdr:col>5</xdr:col>
      <xdr:colOff>904875</xdr:colOff>
      <xdr:row>44</xdr:row>
      <xdr:rowOff>38100</xdr:rowOff>
    </xdr:to>
    <xdr:sp>
      <xdr:nvSpPr>
        <xdr:cNvPr id="143" name="Line 748"/>
        <xdr:cNvSpPr>
          <a:spLocks/>
        </xdr:cNvSpPr>
      </xdr:nvSpPr>
      <xdr:spPr>
        <a:xfrm>
          <a:off x="5676900" y="8982075"/>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43</xdr:row>
      <xdr:rowOff>38100</xdr:rowOff>
    </xdr:from>
    <xdr:to>
      <xdr:col>6</xdr:col>
      <xdr:colOff>923925</xdr:colOff>
      <xdr:row>44</xdr:row>
      <xdr:rowOff>47625</xdr:rowOff>
    </xdr:to>
    <xdr:sp>
      <xdr:nvSpPr>
        <xdr:cNvPr id="144" name="Line 749"/>
        <xdr:cNvSpPr>
          <a:spLocks/>
        </xdr:cNvSpPr>
      </xdr:nvSpPr>
      <xdr:spPr>
        <a:xfrm>
          <a:off x="6657975" y="8982075"/>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914400</xdr:colOff>
      <xdr:row>44</xdr:row>
      <xdr:rowOff>0</xdr:rowOff>
    </xdr:from>
    <xdr:to>
      <xdr:col>6</xdr:col>
      <xdr:colOff>923925</xdr:colOff>
      <xdr:row>44</xdr:row>
      <xdr:rowOff>0</xdr:rowOff>
    </xdr:to>
    <xdr:sp>
      <xdr:nvSpPr>
        <xdr:cNvPr id="145" name="Line 750"/>
        <xdr:cNvSpPr>
          <a:spLocks/>
        </xdr:cNvSpPr>
      </xdr:nvSpPr>
      <xdr:spPr>
        <a:xfrm>
          <a:off x="5686425" y="9144000"/>
          <a:ext cx="9715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38</xdr:row>
      <xdr:rowOff>142875</xdr:rowOff>
    </xdr:from>
    <xdr:to>
      <xdr:col>5</xdr:col>
      <xdr:colOff>685800</xdr:colOff>
      <xdr:row>39</xdr:row>
      <xdr:rowOff>28575</xdr:rowOff>
    </xdr:to>
    <xdr:sp>
      <xdr:nvSpPr>
        <xdr:cNvPr id="146" name="Oval 751"/>
        <xdr:cNvSpPr>
          <a:spLocks/>
        </xdr:cNvSpPr>
      </xdr:nvSpPr>
      <xdr:spPr>
        <a:xfrm>
          <a:off x="5324475" y="8134350"/>
          <a:ext cx="13335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39</xdr:row>
      <xdr:rowOff>28575</xdr:rowOff>
    </xdr:from>
    <xdr:to>
      <xdr:col>5</xdr:col>
      <xdr:colOff>657225</xdr:colOff>
      <xdr:row>39</xdr:row>
      <xdr:rowOff>161925</xdr:rowOff>
    </xdr:to>
    <xdr:sp>
      <xdr:nvSpPr>
        <xdr:cNvPr id="147" name="Oval 752"/>
        <xdr:cNvSpPr>
          <a:spLocks/>
        </xdr:cNvSpPr>
      </xdr:nvSpPr>
      <xdr:spPr>
        <a:xfrm>
          <a:off x="5324475" y="820102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38</xdr:row>
      <xdr:rowOff>66675</xdr:rowOff>
    </xdr:from>
    <xdr:to>
      <xdr:col>5</xdr:col>
      <xdr:colOff>552450</xdr:colOff>
      <xdr:row>38</xdr:row>
      <xdr:rowOff>171450</xdr:rowOff>
    </xdr:to>
    <xdr:sp>
      <xdr:nvSpPr>
        <xdr:cNvPr id="148" name="Oval 753"/>
        <xdr:cNvSpPr>
          <a:spLocks/>
        </xdr:cNvSpPr>
      </xdr:nvSpPr>
      <xdr:spPr>
        <a:xfrm>
          <a:off x="5238750" y="8058150"/>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39</xdr:row>
      <xdr:rowOff>28575</xdr:rowOff>
    </xdr:from>
    <xdr:to>
      <xdr:col>5</xdr:col>
      <xdr:colOff>723900</xdr:colOff>
      <xdr:row>39</xdr:row>
      <xdr:rowOff>104775</xdr:rowOff>
    </xdr:to>
    <xdr:sp>
      <xdr:nvSpPr>
        <xdr:cNvPr id="149" name="Oval 754"/>
        <xdr:cNvSpPr>
          <a:spLocks/>
        </xdr:cNvSpPr>
      </xdr:nvSpPr>
      <xdr:spPr>
        <a:xfrm>
          <a:off x="5419725" y="82010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39</xdr:row>
      <xdr:rowOff>114300</xdr:rowOff>
    </xdr:from>
    <xdr:to>
      <xdr:col>5</xdr:col>
      <xdr:colOff>695325</xdr:colOff>
      <xdr:row>40</xdr:row>
      <xdr:rowOff>85725</xdr:rowOff>
    </xdr:to>
    <xdr:sp>
      <xdr:nvSpPr>
        <xdr:cNvPr id="150" name="Oval 755"/>
        <xdr:cNvSpPr>
          <a:spLocks/>
        </xdr:cNvSpPr>
      </xdr:nvSpPr>
      <xdr:spPr>
        <a:xfrm>
          <a:off x="5391150" y="8286750"/>
          <a:ext cx="762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39</xdr:row>
      <xdr:rowOff>104775</xdr:rowOff>
    </xdr:from>
    <xdr:to>
      <xdr:col>5</xdr:col>
      <xdr:colOff>762000</xdr:colOff>
      <xdr:row>40</xdr:row>
      <xdr:rowOff>66675</xdr:rowOff>
    </xdr:to>
    <xdr:sp>
      <xdr:nvSpPr>
        <xdr:cNvPr id="151" name="Oval 756"/>
        <xdr:cNvSpPr>
          <a:spLocks/>
        </xdr:cNvSpPr>
      </xdr:nvSpPr>
      <xdr:spPr>
        <a:xfrm>
          <a:off x="5457825" y="8277225"/>
          <a:ext cx="762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40</xdr:row>
      <xdr:rowOff>76200</xdr:rowOff>
    </xdr:from>
    <xdr:to>
      <xdr:col>5</xdr:col>
      <xdr:colOff>752475</xdr:colOff>
      <xdr:row>41</xdr:row>
      <xdr:rowOff>0</xdr:rowOff>
    </xdr:to>
    <xdr:sp>
      <xdr:nvSpPr>
        <xdr:cNvPr id="152" name="Oval 757"/>
        <xdr:cNvSpPr>
          <a:spLocks/>
        </xdr:cNvSpPr>
      </xdr:nvSpPr>
      <xdr:spPr>
        <a:xfrm>
          <a:off x="5419725" y="8439150"/>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40</xdr:row>
      <xdr:rowOff>47625</xdr:rowOff>
    </xdr:from>
    <xdr:to>
      <xdr:col>5</xdr:col>
      <xdr:colOff>819150</xdr:colOff>
      <xdr:row>40</xdr:row>
      <xdr:rowOff>133350</xdr:rowOff>
    </xdr:to>
    <xdr:sp>
      <xdr:nvSpPr>
        <xdr:cNvPr id="153" name="Oval 758"/>
        <xdr:cNvSpPr>
          <a:spLocks/>
        </xdr:cNvSpPr>
      </xdr:nvSpPr>
      <xdr:spPr>
        <a:xfrm>
          <a:off x="5505450" y="841057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40</xdr:row>
      <xdr:rowOff>152400</xdr:rowOff>
    </xdr:from>
    <xdr:to>
      <xdr:col>5</xdr:col>
      <xdr:colOff>809625</xdr:colOff>
      <xdr:row>41</xdr:row>
      <xdr:rowOff>123825</xdr:rowOff>
    </xdr:to>
    <xdr:sp>
      <xdr:nvSpPr>
        <xdr:cNvPr id="154" name="Oval 759"/>
        <xdr:cNvSpPr>
          <a:spLocks/>
        </xdr:cNvSpPr>
      </xdr:nvSpPr>
      <xdr:spPr>
        <a:xfrm>
          <a:off x="5495925" y="8515350"/>
          <a:ext cx="8572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40</xdr:row>
      <xdr:rowOff>123825</xdr:rowOff>
    </xdr:from>
    <xdr:to>
      <xdr:col>5</xdr:col>
      <xdr:colOff>866775</xdr:colOff>
      <xdr:row>41</xdr:row>
      <xdr:rowOff>19050</xdr:rowOff>
    </xdr:to>
    <xdr:sp>
      <xdr:nvSpPr>
        <xdr:cNvPr id="155" name="Oval 760"/>
        <xdr:cNvSpPr>
          <a:spLocks/>
        </xdr:cNvSpPr>
      </xdr:nvSpPr>
      <xdr:spPr>
        <a:xfrm>
          <a:off x="5562600" y="84867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41</xdr:row>
      <xdr:rowOff>114300</xdr:rowOff>
    </xdr:from>
    <xdr:to>
      <xdr:col>5</xdr:col>
      <xdr:colOff>866775</xdr:colOff>
      <xdr:row>42</xdr:row>
      <xdr:rowOff>38100</xdr:rowOff>
    </xdr:to>
    <xdr:sp>
      <xdr:nvSpPr>
        <xdr:cNvPr id="156" name="Oval 761"/>
        <xdr:cNvSpPr>
          <a:spLocks/>
        </xdr:cNvSpPr>
      </xdr:nvSpPr>
      <xdr:spPr>
        <a:xfrm>
          <a:off x="5553075" y="8667750"/>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800100</xdr:colOff>
      <xdr:row>41</xdr:row>
      <xdr:rowOff>28575</xdr:rowOff>
    </xdr:from>
    <xdr:to>
      <xdr:col>5</xdr:col>
      <xdr:colOff>895350</xdr:colOff>
      <xdr:row>41</xdr:row>
      <xdr:rowOff>152400</xdr:rowOff>
    </xdr:to>
    <xdr:sp>
      <xdr:nvSpPr>
        <xdr:cNvPr id="157" name="Oval 762"/>
        <xdr:cNvSpPr>
          <a:spLocks/>
        </xdr:cNvSpPr>
      </xdr:nvSpPr>
      <xdr:spPr>
        <a:xfrm>
          <a:off x="5572125" y="8582025"/>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41</xdr:row>
      <xdr:rowOff>180975</xdr:rowOff>
    </xdr:from>
    <xdr:to>
      <xdr:col>5</xdr:col>
      <xdr:colOff>923925</xdr:colOff>
      <xdr:row>42</xdr:row>
      <xdr:rowOff>114300</xdr:rowOff>
    </xdr:to>
    <xdr:sp>
      <xdr:nvSpPr>
        <xdr:cNvPr id="158" name="Oval 763"/>
        <xdr:cNvSpPr>
          <a:spLocks/>
        </xdr:cNvSpPr>
      </xdr:nvSpPr>
      <xdr:spPr>
        <a:xfrm>
          <a:off x="5600700" y="8734425"/>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885825</xdr:colOff>
      <xdr:row>41</xdr:row>
      <xdr:rowOff>104775</xdr:rowOff>
    </xdr:from>
    <xdr:to>
      <xdr:col>6</xdr:col>
      <xdr:colOff>57150</xdr:colOff>
      <xdr:row>42</xdr:row>
      <xdr:rowOff>19050</xdr:rowOff>
    </xdr:to>
    <xdr:sp>
      <xdr:nvSpPr>
        <xdr:cNvPr id="159" name="Oval 764"/>
        <xdr:cNvSpPr>
          <a:spLocks/>
        </xdr:cNvSpPr>
      </xdr:nvSpPr>
      <xdr:spPr>
        <a:xfrm>
          <a:off x="5657850" y="8658225"/>
          <a:ext cx="1333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904875</xdr:colOff>
      <xdr:row>42</xdr:row>
      <xdr:rowOff>9525</xdr:rowOff>
    </xdr:from>
    <xdr:to>
      <xdr:col>6</xdr:col>
      <xdr:colOff>47625</xdr:colOff>
      <xdr:row>42</xdr:row>
      <xdr:rowOff>104775</xdr:rowOff>
    </xdr:to>
    <xdr:sp>
      <xdr:nvSpPr>
        <xdr:cNvPr id="160" name="Oval 765"/>
        <xdr:cNvSpPr>
          <a:spLocks/>
        </xdr:cNvSpPr>
      </xdr:nvSpPr>
      <xdr:spPr>
        <a:xfrm>
          <a:off x="5676900" y="87534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42</xdr:row>
      <xdr:rowOff>19050</xdr:rowOff>
    </xdr:from>
    <xdr:to>
      <xdr:col>6</xdr:col>
      <xdr:colOff>171450</xdr:colOff>
      <xdr:row>42</xdr:row>
      <xdr:rowOff>104775</xdr:rowOff>
    </xdr:to>
    <xdr:sp>
      <xdr:nvSpPr>
        <xdr:cNvPr id="161" name="Oval 766"/>
        <xdr:cNvSpPr>
          <a:spLocks/>
        </xdr:cNvSpPr>
      </xdr:nvSpPr>
      <xdr:spPr>
        <a:xfrm>
          <a:off x="5772150" y="8763000"/>
          <a:ext cx="1333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41</xdr:row>
      <xdr:rowOff>104775</xdr:rowOff>
    </xdr:from>
    <xdr:to>
      <xdr:col>6</xdr:col>
      <xdr:colOff>171450</xdr:colOff>
      <xdr:row>42</xdr:row>
      <xdr:rowOff>19050</xdr:rowOff>
    </xdr:to>
    <xdr:sp>
      <xdr:nvSpPr>
        <xdr:cNvPr id="162" name="Oval 767"/>
        <xdr:cNvSpPr>
          <a:spLocks/>
        </xdr:cNvSpPr>
      </xdr:nvSpPr>
      <xdr:spPr>
        <a:xfrm>
          <a:off x="5772150" y="8658225"/>
          <a:ext cx="1333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41</xdr:row>
      <xdr:rowOff>104775</xdr:rowOff>
    </xdr:from>
    <xdr:to>
      <xdr:col>6</xdr:col>
      <xdr:colOff>266700</xdr:colOff>
      <xdr:row>42</xdr:row>
      <xdr:rowOff>19050</xdr:rowOff>
    </xdr:to>
    <xdr:sp>
      <xdr:nvSpPr>
        <xdr:cNvPr id="163" name="Oval 768"/>
        <xdr:cNvSpPr>
          <a:spLocks/>
        </xdr:cNvSpPr>
      </xdr:nvSpPr>
      <xdr:spPr>
        <a:xfrm>
          <a:off x="5895975" y="86582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42</xdr:row>
      <xdr:rowOff>9525</xdr:rowOff>
    </xdr:from>
    <xdr:to>
      <xdr:col>6</xdr:col>
      <xdr:colOff>323850</xdr:colOff>
      <xdr:row>42</xdr:row>
      <xdr:rowOff>114300</xdr:rowOff>
    </xdr:to>
    <xdr:sp>
      <xdr:nvSpPr>
        <xdr:cNvPr id="164" name="Oval 769"/>
        <xdr:cNvSpPr>
          <a:spLocks/>
        </xdr:cNvSpPr>
      </xdr:nvSpPr>
      <xdr:spPr>
        <a:xfrm>
          <a:off x="5905500" y="8753475"/>
          <a:ext cx="1524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41</xdr:row>
      <xdr:rowOff>104775</xdr:rowOff>
    </xdr:from>
    <xdr:to>
      <xdr:col>6</xdr:col>
      <xdr:colOff>352425</xdr:colOff>
      <xdr:row>42</xdr:row>
      <xdr:rowOff>19050</xdr:rowOff>
    </xdr:to>
    <xdr:sp>
      <xdr:nvSpPr>
        <xdr:cNvPr id="165" name="Oval 770"/>
        <xdr:cNvSpPr>
          <a:spLocks/>
        </xdr:cNvSpPr>
      </xdr:nvSpPr>
      <xdr:spPr>
        <a:xfrm>
          <a:off x="6010275" y="865822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41</xdr:row>
      <xdr:rowOff>180975</xdr:rowOff>
    </xdr:from>
    <xdr:to>
      <xdr:col>6</xdr:col>
      <xdr:colOff>466725</xdr:colOff>
      <xdr:row>42</xdr:row>
      <xdr:rowOff>114300</xdr:rowOff>
    </xdr:to>
    <xdr:sp>
      <xdr:nvSpPr>
        <xdr:cNvPr id="166" name="Oval 771"/>
        <xdr:cNvSpPr>
          <a:spLocks/>
        </xdr:cNvSpPr>
      </xdr:nvSpPr>
      <xdr:spPr>
        <a:xfrm>
          <a:off x="6048375" y="8734425"/>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41</xdr:row>
      <xdr:rowOff>104775</xdr:rowOff>
    </xdr:from>
    <xdr:to>
      <xdr:col>6</xdr:col>
      <xdr:colOff>466725</xdr:colOff>
      <xdr:row>41</xdr:row>
      <xdr:rowOff>180975</xdr:rowOff>
    </xdr:to>
    <xdr:sp>
      <xdr:nvSpPr>
        <xdr:cNvPr id="167" name="Oval 772"/>
        <xdr:cNvSpPr>
          <a:spLocks/>
        </xdr:cNvSpPr>
      </xdr:nvSpPr>
      <xdr:spPr>
        <a:xfrm>
          <a:off x="6096000" y="8658225"/>
          <a:ext cx="1047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41</xdr:row>
      <xdr:rowOff>114300</xdr:rowOff>
    </xdr:from>
    <xdr:to>
      <xdr:col>6</xdr:col>
      <xdr:colOff>561975</xdr:colOff>
      <xdr:row>42</xdr:row>
      <xdr:rowOff>114300</xdr:rowOff>
    </xdr:to>
    <xdr:sp>
      <xdr:nvSpPr>
        <xdr:cNvPr id="168" name="Oval 773"/>
        <xdr:cNvSpPr>
          <a:spLocks/>
        </xdr:cNvSpPr>
      </xdr:nvSpPr>
      <xdr:spPr>
        <a:xfrm>
          <a:off x="6191250" y="8667750"/>
          <a:ext cx="1047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41</xdr:row>
      <xdr:rowOff>9525</xdr:rowOff>
    </xdr:from>
    <xdr:to>
      <xdr:col>7</xdr:col>
      <xdr:colOff>66675</xdr:colOff>
      <xdr:row>42</xdr:row>
      <xdr:rowOff>19050</xdr:rowOff>
    </xdr:to>
    <xdr:sp>
      <xdr:nvSpPr>
        <xdr:cNvPr id="169" name="Oval 774"/>
        <xdr:cNvSpPr>
          <a:spLocks/>
        </xdr:cNvSpPr>
      </xdr:nvSpPr>
      <xdr:spPr>
        <a:xfrm>
          <a:off x="6667500" y="8562975"/>
          <a:ext cx="9525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42</xdr:row>
      <xdr:rowOff>28575</xdr:rowOff>
    </xdr:from>
    <xdr:to>
      <xdr:col>6</xdr:col>
      <xdr:colOff>628650</xdr:colOff>
      <xdr:row>42</xdr:row>
      <xdr:rowOff>114300</xdr:rowOff>
    </xdr:to>
    <xdr:sp>
      <xdr:nvSpPr>
        <xdr:cNvPr id="170" name="Oval 775"/>
        <xdr:cNvSpPr>
          <a:spLocks/>
        </xdr:cNvSpPr>
      </xdr:nvSpPr>
      <xdr:spPr>
        <a:xfrm>
          <a:off x="6286500" y="87725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41</xdr:row>
      <xdr:rowOff>104775</xdr:rowOff>
    </xdr:from>
    <xdr:to>
      <xdr:col>6</xdr:col>
      <xdr:colOff>647700</xdr:colOff>
      <xdr:row>42</xdr:row>
      <xdr:rowOff>9525</xdr:rowOff>
    </xdr:to>
    <xdr:sp>
      <xdr:nvSpPr>
        <xdr:cNvPr id="171" name="Oval 776"/>
        <xdr:cNvSpPr>
          <a:spLocks/>
        </xdr:cNvSpPr>
      </xdr:nvSpPr>
      <xdr:spPr>
        <a:xfrm>
          <a:off x="6286500" y="86582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41</xdr:row>
      <xdr:rowOff>180975</xdr:rowOff>
    </xdr:from>
    <xdr:to>
      <xdr:col>6</xdr:col>
      <xdr:colOff>752475</xdr:colOff>
      <xdr:row>42</xdr:row>
      <xdr:rowOff>104775</xdr:rowOff>
    </xdr:to>
    <xdr:sp>
      <xdr:nvSpPr>
        <xdr:cNvPr id="172" name="Oval 777"/>
        <xdr:cNvSpPr>
          <a:spLocks/>
        </xdr:cNvSpPr>
      </xdr:nvSpPr>
      <xdr:spPr>
        <a:xfrm>
          <a:off x="6324600" y="8734425"/>
          <a:ext cx="1619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41</xdr:row>
      <xdr:rowOff>95250</xdr:rowOff>
    </xdr:from>
    <xdr:to>
      <xdr:col>6</xdr:col>
      <xdr:colOff>809625</xdr:colOff>
      <xdr:row>42</xdr:row>
      <xdr:rowOff>38100</xdr:rowOff>
    </xdr:to>
    <xdr:sp>
      <xdr:nvSpPr>
        <xdr:cNvPr id="173" name="Oval 778"/>
        <xdr:cNvSpPr>
          <a:spLocks/>
        </xdr:cNvSpPr>
      </xdr:nvSpPr>
      <xdr:spPr>
        <a:xfrm>
          <a:off x="6457950" y="8648700"/>
          <a:ext cx="8572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42</xdr:row>
      <xdr:rowOff>28575</xdr:rowOff>
    </xdr:from>
    <xdr:to>
      <xdr:col>6</xdr:col>
      <xdr:colOff>885825</xdr:colOff>
      <xdr:row>42</xdr:row>
      <xdr:rowOff>114300</xdr:rowOff>
    </xdr:to>
    <xdr:sp>
      <xdr:nvSpPr>
        <xdr:cNvPr id="174" name="Oval 779"/>
        <xdr:cNvSpPr>
          <a:spLocks/>
        </xdr:cNvSpPr>
      </xdr:nvSpPr>
      <xdr:spPr>
        <a:xfrm>
          <a:off x="6477000" y="8772525"/>
          <a:ext cx="1428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41</xdr:row>
      <xdr:rowOff>104775</xdr:rowOff>
    </xdr:from>
    <xdr:to>
      <xdr:col>6</xdr:col>
      <xdr:colOff>733425</xdr:colOff>
      <xdr:row>42</xdr:row>
      <xdr:rowOff>0</xdr:rowOff>
    </xdr:to>
    <xdr:sp>
      <xdr:nvSpPr>
        <xdr:cNvPr id="175" name="Oval 780"/>
        <xdr:cNvSpPr>
          <a:spLocks/>
        </xdr:cNvSpPr>
      </xdr:nvSpPr>
      <xdr:spPr>
        <a:xfrm>
          <a:off x="6391275" y="86582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800100</xdr:colOff>
      <xdr:row>41</xdr:row>
      <xdr:rowOff>104775</xdr:rowOff>
    </xdr:from>
    <xdr:to>
      <xdr:col>6</xdr:col>
      <xdr:colOff>933450</xdr:colOff>
      <xdr:row>42</xdr:row>
      <xdr:rowOff>38100</xdr:rowOff>
    </xdr:to>
    <xdr:sp>
      <xdr:nvSpPr>
        <xdr:cNvPr id="176" name="Oval 781"/>
        <xdr:cNvSpPr>
          <a:spLocks/>
        </xdr:cNvSpPr>
      </xdr:nvSpPr>
      <xdr:spPr>
        <a:xfrm>
          <a:off x="6534150" y="8658225"/>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41</xdr:row>
      <xdr:rowOff>180975</xdr:rowOff>
    </xdr:from>
    <xdr:to>
      <xdr:col>7</xdr:col>
      <xdr:colOff>85725</xdr:colOff>
      <xdr:row>42</xdr:row>
      <xdr:rowOff>114300</xdr:rowOff>
    </xdr:to>
    <xdr:sp>
      <xdr:nvSpPr>
        <xdr:cNvPr id="177" name="Oval 782"/>
        <xdr:cNvSpPr>
          <a:spLocks/>
        </xdr:cNvSpPr>
      </xdr:nvSpPr>
      <xdr:spPr>
        <a:xfrm>
          <a:off x="6610350" y="8734425"/>
          <a:ext cx="1714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40</xdr:row>
      <xdr:rowOff>95250</xdr:rowOff>
    </xdr:from>
    <xdr:to>
      <xdr:col>7</xdr:col>
      <xdr:colOff>114300</xdr:colOff>
      <xdr:row>41</xdr:row>
      <xdr:rowOff>28575</xdr:rowOff>
    </xdr:to>
    <xdr:sp>
      <xdr:nvSpPr>
        <xdr:cNvPr id="178" name="Oval 783"/>
        <xdr:cNvSpPr>
          <a:spLocks/>
        </xdr:cNvSpPr>
      </xdr:nvSpPr>
      <xdr:spPr>
        <a:xfrm>
          <a:off x="6724650" y="8458200"/>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41</xdr:row>
      <xdr:rowOff>19050</xdr:rowOff>
    </xdr:from>
    <xdr:to>
      <xdr:col>7</xdr:col>
      <xdr:colOff>152400</xdr:colOff>
      <xdr:row>41</xdr:row>
      <xdr:rowOff>180975</xdr:rowOff>
    </xdr:to>
    <xdr:sp>
      <xdr:nvSpPr>
        <xdr:cNvPr id="179" name="Oval 784"/>
        <xdr:cNvSpPr>
          <a:spLocks/>
        </xdr:cNvSpPr>
      </xdr:nvSpPr>
      <xdr:spPr>
        <a:xfrm>
          <a:off x="6753225" y="8572500"/>
          <a:ext cx="952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123825</xdr:rowOff>
    </xdr:from>
    <xdr:to>
      <xdr:col>7</xdr:col>
      <xdr:colOff>209550</xdr:colOff>
      <xdr:row>41</xdr:row>
      <xdr:rowOff>38100</xdr:rowOff>
    </xdr:to>
    <xdr:sp>
      <xdr:nvSpPr>
        <xdr:cNvPr id="180" name="Oval 785"/>
        <xdr:cNvSpPr>
          <a:spLocks/>
        </xdr:cNvSpPr>
      </xdr:nvSpPr>
      <xdr:spPr>
        <a:xfrm>
          <a:off x="6810375" y="8486775"/>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57150</xdr:rowOff>
    </xdr:from>
    <xdr:to>
      <xdr:col>7</xdr:col>
      <xdr:colOff>171450</xdr:colOff>
      <xdr:row>40</xdr:row>
      <xdr:rowOff>133350</xdr:rowOff>
    </xdr:to>
    <xdr:sp>
      <xdr:nvSpPr>
        <xdr:cNvPr id="181" name="Oval 786"/>
        <xdr:cNvSpPr>
          <a:spLocks/>
        </xdr:cNvSpPr>
      </xdr:nvSpPr>
      <xdr:spPr>
        <a:xfrm>
          <a:off x="6791325" y="84201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39</xdr:row>
      <xdr:rowOff>76200</xdr:rowOff>
    </xdr:from>
    <xdr:to>
      <xdr:col>7</xdr:col>
      <xdr:colOff>285750</xdr:colOff>
      <xdr:row>40</xdr:row>
      <xdr:rowOff>104775</xdr:rowOff>
    </xdr:to>
    <xdr:sp>
      <xdr:nvSpPr>
        <xdr:cNvPr id="182" name="Oval 787"/>
        <xdr:cNvSpPr>
          <a:spLocks/>
        </xdr:cNvSpPr>
      </xdr:nvSpPr>
      <xdr:spPr>
        <a:xfrm>
          <a:off x="6838950" y="8248650"/>
          <a:ext cx="1428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38</xdr:row>
      <xdr:rowOff>133350</xdr:rowOff>
    </xdr:from>
    <xdr:to>
      <xdr:col>7</xdr:col>
      <xdr:colOff>409575</xdr:colOff>
      <xdr:row>39</xdr:row>
      <xdr:rowOff>38100</xdr:rowOff>
    </xdr:to>
    <xdr:sp>
      <xdr:nvSpPr>
        <xdr:cNvPr id="183" name="Oval 788"/>
        <xdr:cNvSpPr>
          <a:spLocks/>
        </xdr:cNvSpPr>
      </xdr:nvSpPr>
      <xdr:spPr>
        <a:xfrm>
          <a:off x="6953250" y="8124825"/>
          <a:ext cx="1524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39</xdr:row>
      <xdr:rowOff>47625</xdr:rowOff>
    </xdr:from>
    <xdr:to>
      <xdr:col>7</xdr:col>
      <xdr:colOff>295275</xdr:colOff>
      <xdr:row>39</xdr:row>
      <xdr:rowOff>123825</xdr:rowOff>
    </xdr:to>
    <xdr:sp>
      <xdr:nvSpPr>
        <xdr:cNvPr id="184" name="Oval 789"/>
        <xdr:cNvSpPr>
          <a:spLocks/>
        </xdr:cNvSpPr>
      </xdr:nvSpPr>
      <xdr:spPr>
        <a:xfrm>
          <a:off x="6915150" y="82200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38</xdr:row>
      <xdr:rowOff>171450</xdr:rowOff>
    </xdr:from>
    <xdr:to>
      <xdr:col>7</xdr:col>
      <xdr:colOff>276225</xdr:colOff>
      <xdr:row>39</xdr:row>
      <xdr:rowOff>66675</xdr:rowOff>
    </xdr:to>
    <xdr:sp>
      <xdr:nvSpPr>
        <xdr:cNvPr id="185" name="Oval 790"/>
        <xdr:cNvSpPr>
          <a:spLocks/>
        </xdr:cNvSpPr>
      </xdr:nvSpPr>
      <xdr:spPr>
        <a:xfrm>
          <a:off x="6896100" y="81629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40</xdr:row>
      <xdr:rowOff>76200</xdr:rowOff>
    </xdr:from>
    <xdr:to>
      <xdr:col>7</xdr:col>
      <xdr:colOff>257175</xdr:colOff>
      <xdr:row>40</xdr:row>
      <xdr:rowOff>133350</xdr:rowOff>
    </xdr:to>
    <xdr:sp>
      <xdr:nvSpPr>
        <xdr:cNvPr id="186" name="Oval 791"/>
        <xdr:cNvSpPr>
          <a:spLocks/>
        </xdr:cNvSpPr>
      </xdr:nvSpPr>
      <xdr:spPr>
        <a:xfrm flipH="1">
          <a:off x="6867525" y="8439150"/>
          <a:ext cx="857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39</xdr:row>
      <xdr:rowOff>28575</xdr:rowOff>
    </xdr:from>
    <xdr:to>
      <xdr:col>7</xdr:col>
      <xdr:colOff>390525</xdr:colOff>
      <xdr:row>39</xdr:row>
      <xdr:rowOff>123825</xdr:rowOff>
    </xdr:to>
    <xdr:sp>
      <xdr:nvSpPr>
        <xdr:cNvPr id="187" name="Oval 792"/>
        <xdr:cNvSpPr>
          <a:spLocks/>
        </xdr:cNvSpPr>
      </xdr:nvSpPr>
      <xdr:spPr>
        <a:xfrm>
          <a:off x="6991350" y="82010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41</xdr:row>
      <xdr:rowOff>9525</xdr:rowOff>
    </xdr:from>
    <xdr:to>
      <xdr:col>7</xdr:col>
      <xdr:colOff>590550</xdr:colOff>
      <xdr:row>42</xdr:row>
      <xdr:rowOff>180975</xdr:rowOff>
    </xdr:to>
    <xdr:sp>
      <xdr:nvSpPr>
        <xdr:cNvPr id="188" name="Line 793"/>
        <xdr:cNvSpPr>
          <a:spLocks/>
        </xdr:cNvSpPr>
      </xdr:nvSpPr>
      <xdr:spPr>
        <a:xfrm>
          <a:off x="6905625" y="8562975"/>
          <a:ext cx="381000" cy="3619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39</xdr:row>
      <xdr:rowOff>123825</xdr:rowOff>
    </xdr:from>
    <xdr:to>
      <xdr:col>7</xdr:col>
      <xdr:colOff>76200</xdr:colOff>
      <xdr:row>40</xdr:row>
      <xdr:rowOff>57150</xdr:rowOff>
    </xdr:to>
    <xdr:sp>
      <xdr:nvSpPr>
        <xdr:cNvPr id="189" name="Line 794"/>
        <xdr:cNvSpPr>
          <a:spLocks/>
        </xdr:cNvSpPr>
      </xdr:nvSpPr>
      <xdr:spPr>
        <a:xfrm flipH="1" flipV="1">
          <a:off x="6638925" y="8296275"/>
          <a:ext cx="133350" cy="1238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39</xdr:row>
      <xdr:rowOff>114300</xdr:rowOff>
    </xdr:from>
    <xdr:to>
      <xdr:col>5</xdr:col>
      <xdr:colOff>419100</xdr:colOff>
      <xdr:row>41</xdr:row>
      <xdr:rowOff>9525</xdr:rowOff>
    </xdr:to>
    <xdr:sp>
      <xdr:nvSpPr>
        <xdr:cNvPr id="190" name="Line 795"/>
        <xdr:cNvSpPr>
          <a:spLocks/>
        </xdr:cNvSpPr>
      </xdr:nvSpPr>
      <xdr:spPr>
        <a:xfrm flipH="1">
          <a:off x="5191125" y="8286750"/>
          <a:ext cx="0" cy="276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41</xdr:row>
      <xdr:rowOff>9525</xdr:rowOff>
    </xdr:from>
    <xdr:to>
      <xdr:col>5</xdr:col>
      <xdr:colOff>571500</xdr:colOff>
      <xdr:row>41</xdr:row>
      <xdr:rowOff>9525</xdr:rowOff>
    </xdr:to>
    <xdr:sp>
      <xdr:nvSpPr>
        <xdr:cNvPr id="191" name="Line 796"/>
        <xdr:cNvSpPr>
          <a:spLocks/>
        </xdr:cNvSpPr>
      </xdr:nvSpPr>
      <xdr:spPr>
        <a:xfrm>
          <a:off x="5191125" y="8562975"/>
          <a:ext cx="152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39</xdr:row>
      <xdr:rowOff>180975</xdr:rowOff>
    </xdr:from>
    <xdr:to>
      <xdr:col>7</xdr:col>
      <xdr:colOff>161925</xdr:colOff>
      <xdr:row>40</xdr:row>
      <xdr:rowOff>66675</xdr:rowOff>
    </xdr:to>
    <xdr:sp>
      <xdr:nvSpPr>
        <xdr:cNvPr id="192" name="Oval 797"/>
        <xdr:cNvSpPr>
          <a:spLocks/>
        </xdr:cNvSpPr>
      </xdr:nvSpPr>
      <xdr:spPr>
        <a:xfrm>
          <a:off x="6781800" y="8353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39</xdr:row>
      <xdr:rowOff>114300</xdr:rowOff>
    </xdr:from>
    <xdr:to>
      <xdr:col>7</xdr:col>
      <xdr:colOff>342900</xdr:colOff>
      <xdr:row>40</xdr:row>
      <xdr:rowOff>9525</xdr:rowOff>
    </xdr:to>
    <xdr:sp>
      <xdr:nvSpPr>
        <xdr:cNvPr id="193" name="Oval 798"/>
        <xdr:cNvSpPr>
          <a:spLocks/>
        </xdr:cNvSpPr>
      </xdr:nvSpPr>
      <xdr:spPr>
        <a:xfrm>
          <a:off x="6962775" y="82867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38</xdr:row>
      <xdr:rowOff>66675</xdr:rowOff>
    </xdr:from>
    <xdr:to>
      <xdr:col>7</xdr:col>
      <xdr:colOff>314325</xdr:colOff>
      <xdr:row>38</xdr:row>
      <xdr:rowOff>152400</xdr:rowOff>
    </xdr:to>
    <xdr:sp>
      <xdr:nvSpPr>
        <xdr:cNvPr id="194" name="Oval 799"/>
        <xdr:cNvSpPr>
          <a:spLocks/>
        </xdr:cNvSpPr>
      </xdr:nvSpPr>
      <xdr:spPr>
        <a:xfrm>
          <a:off x="6943725" y="8058150"/>
          <a:ext cx="666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38</xdr:row>
      <xdr:rowOff>66675</xdr:rowOff>
    </xdr:from>
    <xdr:to>
      <xdr:col>5</xdr:col>
      <xdr:colOff>619125</xdr:colOff>
      <xdr:row>38</xdr:row>
      <xdr:rowOff>152400</xdr:rowOff>
    </xdr:to>
    <xdr:sp>
      <xdr:nvSpPr>
        <xdr:cNvPr id="195" name="Oval 800"/>
        <xdr:cNvSpPr>
          <a:spLocks/>
        </xdr:cNvSpPr>
      </xdr:nvSpPr>
      <xdr:spPr>
        <a:xfrm>
          <a:off x="5314950" y="80581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37</xdr:row>
      <xdr:rowOff>19050</xdr:rowOff>
    </xdr:from>
    <xdr:to>
      <xdr:col>5</xdr:col>
      <xdr:colOff>219075</xdr:colOff>
      <xdr:row>37</xdr:row>
      <xdr:rowOff>19050</xdr:rowOff>
    </xdr:to>
    <xdr:sp>
      <xdr:nvSpPr>
        <xdr:cNvPr id="196" name="Line 804"/>
        <xdr:cNvSpPr>
          <a:spLocks/>
        </xdr:cNvSpPr>
      </xdr:nvSpPr>
      <xdr:spPr>
        <a:xfrm flipH="1">
          <a:off x="4562475" y="7829550"/>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39</xdr:row>
      <xdr:rowOff>133350</xdr:rowOff>
    </xdr:from>
    <xdr:to>
      <xdr:col>6</xdr:col>
      <xdr:colOff>228600</xdr:colOff>
      <xdr:row>40</xdr:row>
      <xdr:rowOff>104775</xdr:rowOff>
    </xdr:to>
    <xdr:sp>
      <xdr:nvSpPr>
        <xdr:cNvPr id="197" name="Text Box 809"/>
        <xdr:cNvSpPr txBox="1">
          <a:spLocks noChangeArrowheads="1"/>
        </xdr:cNvSpPr>
      </xdr:nvSpPr>
      <xdr:spPr>
        <a:xfrm>
          <a:off x="5810250" y="8305800"/>
          <a:ext cx="152400" cy="1619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8</xdr:col>
      <xdr:colOff>104775</xdr:colOff>
      <xdr:row>37</xdr:row>
      <xdr:rowOff>47625</xdr:rowOff>
    </xdr:from>
    <xdr:to>
      <xdr:col>8</xdr:col>
      <xdr:colOff>885825</xdr:colOff>
      <xdr:row>38</xdr:row>
      <xdr:rowOff>57150</xdr:rowOff>
    </xdr:to>
    <xdr:sp>
      <xdr:nvSpPr>
        <xdr:cNvPr id="198" name="Text Box 810"/>
        <xdr:cNvSpPr txBox="1">
          <a:spLocks noChangeArrowheads="1"/>
        </xdr:cNvSpPr>
      </xdr:nvSpPr>
      <xdr:spPr>
        <a:xfrm>
          <a:off x="7762875" y="7858125"/>
          <a:ext cx="781050" cy="1905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Geotextile</a:t>
          </a:r>
        </a:p>
      </xdr:txBody>
    </xdr:sp>
    <xdr:clientData/>
  </xdr:twoCellAnchor>
  <xdr:twoCellAnchor>
    <xdr:from>
      <xdr:col>5</xdr:col>
      <xdr:colOff>495300</xdr:colOff>
      <xdr:row>38</xdr:row>
      <xdr:rowOff>142875</xdr:rowOff>
    </xdr:from>
    <xdr:to>
      <xdr:col>5</xdr:col>
      <xdr:colOff>581025</xdr:colOff>
      <xdr:row>39</xdr:row>
      <xdr:rowOff>66675</xdr:rowOff>
    </xdr:to>
    <xdr:sp>
      <xdr:nvSpPr>
        <xdr:cNvPr id="199" name="Oval 811"/>
        <xdr:cNvSpPr>
          <a:spLocks/>
        </xdr:cNvSpPr>
      </xdr:nvSpPr>
      <xdr:spPr>
        <a:xfrm>
          <a:off x="5267325" y="8134350"/>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38</xdr:row>
      <xdr:rowOff>66675</xdr:rowOff>
    </xdr:from>
    <xdr:to>
      <xdr:col>7</xdr:col>
      <xdr:colOff>457200</xdr:colOff>
      <xdr:row>38</xdr:row>
      <xdr:rowOff>152400</xdr:rowOff>
    </xdr:to>
    <xdr:sp>
      <xdr:nvSpPr>
        <xdr:cNvPr id="200" name="Oval 812"/>
        <xdr:cNvSpPr>
          <a:spLocks/>
        </xdr:cNvSpPr>
      </xdr:nvSpPr>
      <xdr:spPr>
        <a:xfrm>
          <a:off x="7067550" y="8058150"/>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38</xdr:row>
      <xdr:rowOff>57150</xdr:rowOff>
    </xdr:from>
    <xdr:to>
      <xdr:col>7</xdr:col>
      <xdr:colOff>400050</xdr:colOff>
      <xdr:row>38</xdr:row>
      <xdr:rowOff>133350</xdr:rowOff>
    </xdr:to>
    <xdr:sp>
      <xdr:nvSpPr>
        <xdr:cNvPr id="201" name="Oval 813"/>
        <xdr:cNvSpPr>
          <a:spLocks/>
        </xdr:cNvSpPr>
      </xdr:nvSpPr>
      <xdr:spPr>
        <a:xfrm>
          <a:off x="7000875" y="8048625"/>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44</xdr:row>
      <xdr:rowOff>95250</xdr:rowOff>
    </xdr:from>
    <xdr:to>
      <xdr:col>9</xdr:col>
      <xdr:colOff>409575</xdr:colOff>
      <xdr:row>47</xdr:row>
      <xdr:rowOff>19050</xdr:rowOff>
    </xdr:to>
    <xdr:sp>
      <xdr:nvSpPr>
        <xdr:cNvPr id="202" name="Text Box 826"/>
        <xdr:cNvSpPr txBox="1">
          <a:spLocks noChangeArrowheads="1"/>
        </xdr:cNvSpPr>
      </xdr:nvSpPr>
      <xdr:spPr>
        <a:xfrm>
          <a:off x="7362825" y="9239250"/>
          <a:ext cx="1666875" cy="5143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Use H</a:t>
          </a:r>
          <a:r>
            <a:rPr lang="en-US" cap="none" sz="1100" b="0" i="0" u="none" baseline="-25000">
              <a:solidFill>
                <a:srgbClr val="000000"/>
              </a:solidFill>
              <a:latin typeface="Arial"/>
              <a:ea typeface="Arial"/>
              <a:cs typeface="Arial"/>
            </a:rPr>
            <a:t>p</a:t>
          </a:r>
          <a:r>
            <a:rPr lang="en-US" cap="none" sz="1100" b="0" i="0" u="none" baseline="0">
              <a:solidFill>
                <a:srgbClr val="000000"/>
              </a:solidFill>
              <a:latin typeface="Arial"/>
              <a:ea typeface="Arial"/>
              <a:cs typeface="Arial"/>
            </a:rPr>
            <a:t> throughout chute but not less than z</a:t>
          </a:r>
          <a:r>
            <a:rPr lang="en-US" cap="none" sz="1100" b="0" i="0" u="none" baseline="-25000">
              <a:solidFill>
                <a:srgbClr val="000000"/>
              </a:solidFill>
              <a:latin typeface="Arial"/>
              <a:ea typeface="Arial"/>
              <a:cs typeface="Arial"/>
            </a:rPr>
            <a:t>2</a:t>
          </a:r>
          <a:r>
            <a:rPr lang="en-US" cap="none" sz="1100" b="0" i="0" u="none" baseline="0">
              <a:solidFill>
                <a:srgbClr val="000000"/>
              </a:solidFill>
              <a:latin typeface="Arial"/>
              <a:ea typeface="Arial"/>
              <a:cs typeface="Arial"/>
            </a:rPr>
            <a:t>.</a:t>
          </a:r>
        </a:p>
      </xdr:txBody>
    </xdr:sp>
    <xdr:clientData/>
  </xdr:twoCellAnchor>
  <xdr:twoCellAnchor>
    <xdr:from>
      <xdr:col>7</xdr:col>
      <xdr:colOff>581025</xdr:colOff>
      <xdr:row>44</xdr:row>
      <xdr:rowOff>114300</xdr:rowOff>
    </xdr:from>
    <xdr:to>
      <xdr:col>7</xdr:col>
      <xdr:colOff>723900</xdr:colOff>
      <xdr:row>45</xdr:row>
      <xdr:rowOff>57150</xdr:rowOff>
    </xdr:to>
    <xdr:sp>
      <xdr:nvSpPr>
        <xdr:cNvPr id="203" name="Text Box 827"/>
        <xdr:cNvSpPr txBox="1">
          <a:spLocks noChangeArrowheads="1"/>
        </xdr:cNvSpPr>
      </xdr:nvSpPr>
      <xdr:spPr>
        <a:xfrm>
          <a:off x="7277100" y="9258300"/>
          <a:ext cx="142875" cy="1333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5</xdr:col>
      <xdr:colOff>666750</xdr:colOff>
      <xdr:row>56</xdr:row>
      <xdr:rowOff>0</xdr:rowOff>
    </xdr:from>
    <xdr:to>
      <xdr:col>6</xdr:col>
      <xdr:colOff>885825</xdr:colOff>
      <xdr:row>56</xdr:row>
      <xdr:rowOff>0</xdr:rowOff>
    </xdr:to>
    <xdr:sp>
      <xdr:nvSpPr>
        <xdr:cNvPr id="204" name="Line 828"/>
        <xdr:cNvSpPr>
          <a:spLocks/>
        </xdr:cNvSpPr>
      </xdr:nvSpPr>
      <xdr:spPr>
        <a:xfrm>
          <a:off x="5438775" y="11430000"/>
          <a:ext cx="118110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55</xdr:row>
      <xdr:rowOff>171450</xdr:rowOff>
    </xdr:from>
    <xdr:to>
      <xdr:col>6</xdr:col>
      <xdr:colOff>904875</xdr:colOff>
      <xdr:row>55</xdr:row>
      <xdr:rowOff>171450</xdr:rowOff>
    </xdr:to>
    <xdr:sp>
      <xdr:nvSpPr>
        <xdr:cNvPr id="205" name="Line 829"/>
        <xdr:cNvSpPr>
          <a:spLocks/>
        </xdr:cNvSpPr>
      </xdr:nvSpPr>
      <xdr:spPr>
        <a:xfrm>
          <a:off x="5467350" y="11410950"/>
          <a:ext cx="1171575"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26</xdr:row>
      <xdr:rowOff>142875</xdr:rowOff>
    </xdr:from>
    <xdr:to>
      <xdr:col>6</xdr:col>
      <xdr:colOff>714375</xdr:colOff>
      <xdr:row>28</xdr:row>
      <xdr:rowOff>152400</xdr:rowOff>
    </xdr:to>
    <xdr:sp>
      <xdr:nvSpPr>
        <xdr:cNvPr id="206" name="Line 830"/>
        <xdr:cNvSpPr>
          <a:spLocks/>
        </xdr:cNvSpPr>
      </xdr:nvSpPr>
      <xdr:spPr>
        <a:xfrm flipH="1">
          <a:off x="6334125" y="5838825"/>
          <a:ext cx="114300" cy="3905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26</xdr:row>
      <xdr:rowOff>19050</xdr:rowOff>
    </xdr:from>
    <xdr:to>
      <xdr:col>6</xdr:col>
      <xdr:colOff>723900</xdr:colOff>
      <xdr:row>26</xdr:row>
      <xdr:rowOff>152400</xdr:rowOff>
    </xdr:to>
    <xdr:sp>
      <xdr:nvSpPr>
        <xdr:cNvPr id="207" name="Freeform 831"/>
        <xdr:cNvSpPr>
          <a:spLocks/>
        </xdr:cNvSpPr>
      </xdr:nvSpPr>
      <xdr:spPr>
        <a:xfrm flipH="1">
          <a:off x="6257925" y="5715000"/>
          <a:ext cx="200025" cy="133350"/>
        </a:xfrm>
        <a:custGeom>
          <a:pathLst>
            <a:path h="9" w="18">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20</xdr:row>
      <xdr:rowOff>47625</xdr:rowOff>
    </xdr:from>
    <xdr:to>
      <xdr:col>3</xdr:col>
      <xdr:colOff>495300</xdr:colOff>
      <xdr:row>20</xdr:row>
      <xdr:rowOff>190500</xdr:rowOff>
    </xdr:to>
    <xdr:sp>
      <xdr:nvSpPr>
        <xdr:cNvPr id="208" name="Line 832"/>
        <xdr:cNvSpPr>
          <a:spLocks/>
        </xdr:cNvSpPr>
      </xdr:nvSpPr>
      <xdr:spPr>
        <a:xfrm>
          <a:off x="3228975" y="4543425"/>
          <a:ext cx="38100" cy="1428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19</xdr:row>
      <xdr:rowOff>104775</xdr:rowOff>
    </xdr:from>
    <xdr:to>
      <xdr:col>3</xdr:col>
      <xdr:colOff>771525</xdr:colOff>
      <xdr:row>20</xdr:row>
      <xdr:rowOff>47625</xdr:rowOff>
    </xdr:to>
    <xdr:sp>
      <xdr:nvSpPr>
        <xdr:cNvPr id="209" name="Freeform 833"/>
        <xdr:cNvSpPr>
          <a:spLocks/>
        </xdr:cNvSpPr>
      </xdr:nvSpPr>
      <xdr:spPr>
        <a:xfrm>
          <a:off x="3209925" y="4391025"/>
          <a:ext cx="333375" cy="152400"/>
        </a:xfrm>
        <a:custGeom>
          <a:pathLst>
            <a:path h="9" w="18">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838200</xdr:colOff>
      <xdr:row>31</xdr:row>
      <xdr:rowOff>0</xdr:rowOff>
    </xdr:from>
    <xdr:to>
      <xdr:col>5</xdr:col>
      <xdr:colOff>952500</xdr:colOff>
      <xdr:row>31</xdr:row>
      <xdr:rowOff>0</xdr:rowOff>
    </xdr:to>
    <xdr:sp>
      <xdr:nvSpPr>
        <xdr:cNvPr id="210" name="Line 834"/>
        <xdr:cNvSpPr>
          <a:spLocks/>
        </xdr:cNvSpPr>
      </xdr:nvSpPr>
      <xdr:spPr>
        <a:xfrm>
          <a:off x="3609975" y="6648450"/>
          <a:ext cx="21145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31</xdr:row>
      <xdr:rowOff>19050</xdr:rowOff>
    </xdr:from>
    <xdr:to>
      <xdr:col>5</xdr:col>
      <xdr:colOff>952500</xdr:colOff>
      <xdr:row>31</xdr:row>
      <xdr:rowOff>19050</xdr:rowOff>
    </xdr:to>
    <xdr:sp>
      <xdr:nvSpPr>
        <xdr:cNvPr id="211" name="Line 835"/>
        <xdr:cNvSpPr>
          <a:spLocks/>
        </xdr:cNvSpPr>
      </xdr:nvSpPr>
      <xdr:spPr>
        <a:xfrm flipH="1">
          <a:off x="3686175" y="6667500"/>
          <a:ext cx="20383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27</xdr:row>
      <xdr:rowOff>66675</xdr:rowOff>
    </xdr:from>
    <xdr:to>
      <xdr:col>4</xdr:col>
      <xdr:colOff>95250</xdr:colOff>
      <xdr:row>27</xdr:row>
      <xdr:rowOff>66675</xdr:rowOff>
    </xdr:to>
    <xdr:sp>
      <xdr:nvSpPr>
        <xdr:cNvPr id="212" name="Line 836"/>
        <xdr:cNvSpPr>
          <a:spLocks/>
        </xdr:cNvSpPr>
      </xdr:nvSpPr>
      <xdr:spPr>
        <a:xfrm flipH="1">
          <a:off x="3267075" y="5962650"/>
          <a:ext cx="56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114300</xdr:rowOff>
    </xdr:from>
    <xdr:to>
      <xdr:col>3</xdr:col>
      <xdr:colOff>714375</xdr:colOff>
      <xdr:row>25</xdr:row>
      <xdr:rowOff>85725</xdr:rowOff>
    </xdr:to>
    <xdr:sp>
      <xdr:nvSpPr>
        <xdr:cNvPr id="213" name="Freeform 837"/>
        <xdr:cNvSpPr>
          <a:spLocks/>
        </xdr:cNvSpPr>
      </xdr:nvSpPr>
      <xdr:spPr>
        <a:xfrm>
          <a:off x="3181350" y="5419725"/>
          <a:ext cx="304800" cy="171450"/>
        </a:xfrm>
        <a:custGeom>
          <a:pathLst>
            <a:path h="12" w="18">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30</xdr:row>
      <xdr:rowOff>104775</xdr:rowOff>
    </xdr:from>
    <xdr:to>
      <xdr:col>7</xdr:col>
      <xdr:colOff>285750</xdr:colOff>
      <xdr:row>30</xdr:row>
      <xdr:rowOff>104775</xdr:rowOff>
    </xdr:to>
    <xdr:sp>
      <xdr:nvSpPr>
        <xdr:cNvPr id="214" name="Line 838"/>
        <xdr:cNvSpPr>
          <a:spLocks/>
        </xdr:cNvSpPr>
      </xdr:nvSpPr>
      <xdr:spPr>
        <a:xfrm flipH="1">
          <a:off x="6819900" y="6562725"/>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29</xdr:row>
      <xdr:rowOff>171450</xdr:rowOff>
    </xdr:from>
    <xdr:to>
      <xdr:col>7</xdr:col>
      <xdr:colOff>285750</xdr:colOff>
      <xdr:row>30</xdr:row>
      <xdr:rowOff>104775</xdr:rowOff>
    </xdr:to>
    <xdr:sp>
      <xdr:nvSpPr>
        <xdr:cNvPr id="215" name="Line 839"/>
        <xdr:cNvSpPr>
          <a:spLocks/>
        </xdr:cNvSpPr>
      </xdr:nvSpPr>
      <xdr:spPr>
        <a:xfrm>
          <a:off x="6981825" y="6438900"/>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30</xdr:row>
      <xdr:rowOff>104775</xdr:rowOff>
    </xdr:from>
    <xdr:to>
      <xdr:col>7</xdr:col>
      <xdr:colOff>400050</xdr:colOff>
      <xdr:row>31</xdr:row>
      <xdr:rowOff>114300</xdr:rowOff>
    </xdr:to>
    <xdr:sp>
      <xdr:nvSpPr>
        <xdr:cNvPr id="216" name="Text Box 840"/>
        <xdr:cNvSpPr txBox="1">
          <a:spLocks noChangeArrowheads="1"/>
        </xdr:cNvSpPr>
      </xdr:nvSpPr>
      <xdr:spPr>
        <a:xfrm>
          <a:off x="6791325" y="6562725"/>
          <a:ext cx="304800" cy="2000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2.5
</a:t>
          </a:r>
        </a:p>
      </xdr:txBody>
    </xdr:sp>
    <xdr:clientData/>
  </xdr:twoCellAnchor>
  <xdr:twoCellAnchor>
    <xdr:from>
      <xdr:col>7</xdr:col>
      <xdr:colOff>285750</xdr:colOff>
      <xdr:row>29</xdr:row>
      <xdr:rowOff>123825</xdr:rowOff>
    </xdr:from>
    <xdr:to>
      <xdr:col>7</xdr:col>
      <xdr:colOff>409575</xdr:colOff>
      <xdr:row>30</xdr:row>
      <xdr:rowOff>123825</xdr:rowOff>
    </xdr:to>
    <xdr:sp>
      <xdr:nvSpPr>
        <xdr:cNvPr id="217" name="Text Box 841"/>
        <xdr:cNvSpPr txBox="1">
          <a:spLocks noChangeArrowheads="1"/>
        </xdr:cNvSpPr>
      </xdr:nvSpPr>
      <xdr:spPr>
        <a:xfrm>
          <a:off x="6981825" y="6391275"/>
          <a:ext cx="123825"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a:t>
          </a:r>
        </a:p>
      </xdr:txBody>
    </xdr:sp>
    <xdr:clientData/>
  </xdr:twoCellAnchor>
  <xdr:twoCellAnchor>
    <xdr:from>
      <xdr:col>5</xdr:col>
      <xdr:colOff>647700</xdr:colOff>
      <xdr:row>36</xdr:row>
      <xdr:rowOff>180975</xdr:rowOff>
    </xdr:from>
    <xdr:to>
      <xdr:col>7</xdr:col>
      <xdr:colOff>266700</xdr:colOff>
      <xdr:row>36</xdr:row>
      <xdr:rowOff>180975</xdr:rowOff>
    </xdr:to>
    <xdr:sp>
      <xdr:nvSpPr>
        <xdr:cNvPr id="218" name="Line 853"/>
        <xdr:cNvSpPr>
          <a:spLocks/>
        </xdr:cNvSpPr>
      </xdr:nvSpPr>
      <xdr:spPr>
        <a:xfrm>
          <a:off x="5419725" y="7800975"/>
          <a:ext cx="15430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36</xdr:row>
      <xdr:rowOff>142875</xdr:rowOff>
    </xdr:from>
    <xdr:to>
      <xdr:col>7</xdr:col>
      <xdr:colOff>257175</xdr:colOff>
      <xdr:row>38</xdr:row>
      <xdr:rowOff>38100</xdr:rowOff>
    </xdr:to>
    <xdr:sp>
      <xdr:nvSpPr>
        <xdr:cNvPr id="219" name="Line 854"/>
        <xdr:cNvSpPr>
          <a:spLocks/>
        </xdr:cNvSpPr>
      </xdr:nvSpPr>
      <xdr:spPr>
        <a:xfrm>
          <a:off x="6953250" y="7762875"/>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36</xdr:row>
      <xdr:rowOff>142875</xdr:rowOff>
    </xdr:from>
    <xdr:to>
      <xdr:col>5</xdr:col>
      <xdr:colOff>638175</xdr:colOff>
      <xdr:row>38</xdr:row>
      <xdr:rowOff>28575</xdr:rowOff>
    </xdr:to>
    <xdr:sp>
      <xdr:nvSpPr>
        <xdr:cNvPr id="220" name="Line 855"/>
        <xdr:cNvSpPr>
          <a:spLocks/>
        </xdr:cNvSpPr>
      </xdr:nvSpPr>
      <xdr:spPr>
        <a:xfrm flipV="1">
          <a:off x="5410200" y="7762875"/>
          <a:ext cx="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10</xdr:row>
      <xdr:rowOff>57150</xdr:rowOff>
    </xdr:from>
    <xdr:to>
      <xdr:col>2</xdr:col>
      <xdr:colOff>561975</xdr:colOff>
      <xdr:row>11</xdr:row>
      <xdr:rowOff>9525</xdr:rowOff>
    </xdr:to>
    <xdr:sp>
      <xdr:nvSpPr>
        <xdr:cNvPr id="221" name="Text Box 856"/>
        <xdr:cNvSpPr txBox="1">
          <a:spLocks noChangeArrowheads="1"/>
        </xdr:cNvSpPr>
      </xdr:nvSpPr>
      <xdr:spPr>
        <a:xfrm>
          <a:off x="2162175" y="234315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352425</xdr:colOff>
      <xdr:row>12</xdr:row>
      <xdr:rowOff>19050</xdr:rowOff>
    </xdr:from>
    <xdr:to>
      <xdr:col>2</xdr:col>
      <xdr:colOff>561975</xdr:colOff>
      <xdr:row>12</xdr:row>
      <xdr:rowOff>219075</xdr:rowOff>
    </xdr:to>
    <xdr:sp>
      <xdr:nvSpPr>
        <xdr:cNvPr id="222" name="Text Box 857"/>
        <xdr:cNvSpPr txBox="1">
          <a:spLocks noChangeArrowheads="1"/>
        </xdr:cNvSpPr>
      </xdr:nvSpPr>
      <xdr:spPr>
        <a:xfrm>
          <a:off x="2162175" y="280035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352425</xdr:colOff>
      <xdr:row>8</xdr:row>
      <xdr:rowOff>28575</xdr:rowOff>
    </xdr:from>
    <xdr:to>
      <xdr:col>2</xdr:col>
      <xdr:colOff>609600</xdr:colOff>
      <xdr:row>8</xdr:row>
      <xdr:rowOff>228600</xdr:rowOff>
    </xdr:to>
    <xdr:sp>
      <xdr:nvSpPr>
        <xdr:cNvPr id="223" name="Text Box 858"/>
        <xdr:cNvSpPr txBox="1">
          <a:spLocks noChangeArrowheads="1"/>
        </xdr:cNvSpPr>
      </xdr:nvSpPr>
      <xdr:spPr>
        <a:xfrm>
          <a:off x="2162175" y="1819275"/>
          <a:ext cx="2571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2</xdr:col>
      <xdr:colOff>361950</xdr:colOff>
      <xdr:row>11</xdr:row>
      <xdr:rowOff>47625</xdr:rowOff>
    </xdr:from>
    <xdr:to>
      <xdr:col>2</xdr:col>
      <xdr:colOff>571500</xdr:colOff>
      <xdr:row>12</xdr:row>
      <xdr:rowOff>0</xdr:rowOff>
    </xdr:to>
    <xdr:sp>
      <xdr:nvSpPr>
        <xdr:cNvPr id="224" name="Text Box 859"/>
        <xdr:cNvSpPr txBox="1">
          <a:spLocks noChangeArrowheads="1"/>
        </xdr:cNvSpPr>
      </xdr:nvSpPr>
      <xdr:spPr>
        <a:xfrm>
          <a:off x="2171700" y="25812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8</xdr:col>
      <xdr:colOff>361950</xdr:colOff>
      <xdr:row>10</xdr:row>
      <xdr:rowOff>238125</xdr:rowOff>
    </xdr:from>
    <xdr:to>
      <xdr:col>8</xdr:col>
      <xdr:colOff>838200</xdr:colOff>
      <xdr:row>12</xdr:row>
      <xdr:rowOff>9525</xdr:rowOff>
    </xdr:to>
    <xdr:sp>
      <xdr:nvSpPr>
        <xdr:cNvPr id="225" name="Text Box 861"/>
        <xdr:cNvSpPr txBox="1">
          <a:spLocks noChangeArrowheads="1"/>
        </xdr:cNvSpPr>
      </xdr:nvSpPr>
      <xdr:spPr>
        <a:xfrm>
          <a:off x="8020050" y="2524125"/>
          <a:ext cx="476250"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361950</xdr:colOff>
      <xdr:row>11</xdr:row>
      <xdr:rowOff>228600</xdr:rowOff>
    </xdr:from>
    <xdr:to>
      <xdr:col>8</xdr:col>
      <xdr:colOff>838200</xdr:colOff>
      <xdr:row>13</xdr:row>
      <xdr:rowOff>0</xdr:rowOff>
    </xdr:to>
    <xdr:sp>
      <xdr:nvSpPr>
        <xdr:cNvPr id="226" name="Text Box 862"/>
        <xdr:cNvSpPr txBox="1">
          <a:spLocks noChangeArrowheads="1"/>
        </xdr:cNvSpPr>
      </xdr:nvSpPr>
      <xdr:spPr>
        <a:xfrm>
          <a:off x="8020050" y="2762250"/>
          <a:ext cx="476250"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276225</xdr:colOff>
      <xdr:row>13</xdr:row>
      <xdr:rowOff>19050</xdr:rowOff>
    </xdr:from>
    <xdr:to>
      <xdr:col>8</xdr:col>
      <xdr:colOff>762000</xdr:colOff>
      <xdr:row>14</xdr:row>
      <xdr:rowOff>38100</xdr:rowOff>
    </xdr:to>
    <xdr:sp>
      <xdr:nvSpPr>
        <xdr:cNvPr id="227" name="Text Box 863"/>
        <xdr:cNvSpPr txBox="1">
          <a:spLocks noChangeArrowheads="1"/>
        </xdr:cNvSpPr>
      </xdr:nvSpPr>
      <xdr:spPr>
        <a:xfrm>
          <a:off x="7934325" y="3048000"/>
          <a:ext cx="485775"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acres</a:t>
          </a:r>
        </a:p>
      </xdr:txBody>
    </xdr:sp>
    <xdr:clientData/>
  </xdr:twoCellAnchor>
  <xdr:twoCellAnchor>
    <xdr:from>
      <xdr:col>2</xdr:col>
      <xdr:colOff>352425</xdr:colOff>
      <xdr:row>9</xdr:row>
      <xdr:rowOff>38100</xdr:rowOff>
    </xdr:from>
    <xdr:to>
      <xdr:col>2</xdr:col>
      <xdr:colOff>581025</xdr:colOff>
      <xdr:row>9</xdr:row>
      <xdr:rowOff>238125</xdr:rowOff>
    </xdr:to>
    <xdr:sp>
      <xdr:nvSpPr>
        <xdr:cNvPr id="228" name="Text Box 864"/>
        <xdr:cNvSpPr txBox="1">
          <a:spLocks noChangeArrowheads="1"/>
        </xdr:cNvSpPr>
      </xdr:nvSpPr>
      <xdr:spPr>
        <a:xfrm>
          <a:off x="2162175" y="2076450"/>
          <a:ext cx="22860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1</xdr:col>
      <xdr:colOff>266700</xdr:colOff>
      <xdr:row>39</xdr:row>
      <xdr:rowOff>76200</xdr:rowOff>
    </xdr:from>
    <xdr:to>
      <xdr:col>1</xdr:col>
      <xdr:colOff>476250</xdr:colOff>
      <xdr:row>40</xdr:row>
      <xdr:rowOff>104775</xdr:rowOff>
    </xdr:to>
    <xdr:sp fLocksText="0">
      <xdr:nvSpPr>
        <xdr:cNvPr id="229" name="Text Box 866"/>
        <xdr:cNvSpPr txBox="1">
          <a:spLocks noChangeArrowheads="1"/>
        </xdr:cNvSpPr>
      </xdr:nvSpPr>
      <xdr:spPr>
        <a:xfrm>
          <a:off x="1009650" y="8248650"/>
          <a:ext cx="209550" cy="219075"/>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39</xdr:row>
      <xdr:rowOff>180975</xdr:rowOff>
    </xdr:from>
    <xdr:to>
      <xdr:col>6</xdr:col>
      <xdr:colOff>542925</xdr:colOff>
      <xdr:row>41</xdr:row>
      <xdr:rowOff>38100</xdr:rowOff>
    </xdr:to>
    <xdr:sp>
      <xdr:nvSpPr>
        <xdr:cNvPr id="230" name="Text Box 868"/>
        <xdr:cNvSpPr txBox="1">
          <a:spLocks noChangeArrowheads="1"/>
        </xdr:cNvSpPr>
      </xdr:nvSpPr>
      <xdr:spPr>
        <a:xfrm>
          <a:off x="5876925" y="8353425"/>
          <a:ext cx="4000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 =</a:t>
          </a:r>
        </a:p>
      </xdr:txBody>
    </xdr:sp>
    <xdr:clientData/>
  </xdr:twoCellAnchor>
  <xdr:twoCellAnchor>
    <xdr:from>
      <xdr:col>5</xdr:col>
      <xdr:colOff>676275</xdr:colOff>
      <xdr:row>35</xdr:row>
      <xdr:rowOff>171450</xdr:rowOff>
    </xdr:from>
    <xdr:to>
      <xdr:col>6</xdr:col>
      <xdr:colOff>600075</xdr:colOff>
      <xdr:row>37</xdr:row>
      <xdr:rowOff>38100</xdr:rowOff>
    </xdr:to>
    <xdr:sp>
      <xdr:nvSpPr>
        <xdr:cNvPr id="231" name="Text Box 869"/>
        <xdr:cNvSpPr txBox="1">
          <a:spLocks noChangeArrowheads="1"/>
        </xdr:cNvSpPr>
      </xdr:nvSpPr>
      <xdr:spPr>
        <a:xfrm>
          <a:off x="5448300" y="7610475"/>
          <a:ext cx="88582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Top width =</a:t>
          </a:r>
        </a:p>
      </xdr:txBody>
    </xdr:sp>
    <xdr:clientData/>
  </xdr:twoCellAnchor>
  <xdr:twoCellAnchor>
    <xdr:from>
      <xdr:col>5</xdr:col>
      <xdr:colOff>257175</xdr:colOff>
      <xdr:row>39</xdr:row>
      <xdr:rowOff>142875</xdr:rowOff>
    </xdr:from>
    <xdr:to>
      <xdr:col>5</xdr:col>
      <xdr:colOff>466725</xdr:colOff>
      <xdr:row>40</xdr:row>
      <xdr:rowOff>171450</xdr:rowOff>
    </xdr:to>
    <xdr:sp>
      <xdr:nvSpPr>
        <xdr:cNvPr id="232" name="Text Box 871"/>
        <xdr:cNvSpPr txBox="1">
          <a:spLocks noChangeArrowheads="1"/>
        </xdr:cNvSpPr>
      </xdr:nvSpPr>
      <xdr:spPr>
        <a:xfrm>
          <a:off x="5029200" y="8315325"/>
          <a:ext cx="2095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1</a:t>
          </a:r>
        </a:p>
      </xdr:txBody>
    </xdr:sp>
    <xdr:clientData/>
  </xdr:twoCellAnchor>
  <xdr:twoCellAnchor>
    <xdr:from>
      <xdr:col>7</xdr:col>
      <xdr:colOff>352425</xdr:colOff>
      <xdr:row>42</xdr:row>
      <xdr:rowOff>161925</xdr:rowOff>
    </xdr:from>
    <xdr:to>
      <xdr:col>8</xdr:col>
      <xdr:colOff>409575</xdr:colOff>
      <xdr:row>44</xdr:row>
      <xdr:rowOff>19050</xdr:rowOff>
    </xdr:to>
    <xdr:sp>
      <xdr:nvSpPr>
        <xdr:cNvPr id="233" name="Text Box 872"/>
        <xdr:cNvSpPr txBox="1">
          <a:spLocks noChangeArrowheads="1"/>
        </xdr:cNvSpPr>
      </xdr:nvSpPr>
      <xdr:spPr>
        <a:xfrm>
          <a:off x="7048500" y="8905875"/>
          <a:ext cx="10191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a:t>
          </a:r>
          <a:r>
            <a:rPr lang="en-US" cap="none" sz="1200" b="0" i="0" u="none" baseline="-25000">
              <a:solidFill>
                <a:srgbClr val="000000"/>
              </a:solidFill>
              <a:latin typeface="Arial"/>
              <a:ea typeface="Arial"/>
              <a:cs typeface="Arial"/>
            </a:rPr>
            <a:t>thickness </a:t>
          </a:r>
          <a:r>
            <a:rPr lang="en-US" cap="none" sz="1200" b="0" i="0" u="none" baseline="0">
              <a:solidFill>
                <a:srgbClr val="000000"/>
              </a:solidFill>
              <a:latin typeface="Arial"/>
              <a:ea typeface="Arial"/>
              <a:cs typeface="Arial"/>
            </a:rPr>
            <a:t>=</a:t>
          </a:r>
        </a:p>
      </xdr:txBody>
    </xdr:sp>
    <xdr:clientData/>
  </xdr:twoCellAnchor>
  <xdr:twoCellAnchor>
    <xdr:from>
      <xdr:col>5</xdr:col>
      <xdr:colOff>190500</xdr:colOff>
      <xdr:row>38</xdr:row>
      <xdr:rowOff>57150</xdr:rowOff>
    </xdr:from>
    <xdr:to>
      <xdr:col>5</xdr:col>
      <xdr:colOff>295275</xdr:colOff>
      <xdr:row>38</xdr:row>
      <xdr:rowOff>57150</xdr:rowOff>
    </xdr:to>
    <xdr:sp>
      <xdr:nvSpPr>
        <xdr:cNvPr id="234" name="Line 873"/>
        <xdr:cNvSpPr>
          <a:spLocks/>
        </xdr:cNvSpPr>
      </xdr:nvSpPr>
      <xdr:spPr>
        <a:xfrm flipH="1">
          <a:off x="4962525" y="8048625"/>
          <a:ext cx="104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38</xdr:row>
      <xdr:rowOff>57150</xdr:rowOff>
    </xdr:from>
    <xdr:to>
      <xdr:col>5</xdr:col>
      <xdr:colOff>247650</xdr:colOff>
      <xdr:row>39</xdr:row>
      <xdr:rowOff>47625</xdr:rowOff>
    </xdr:to>
    <xdr:sp>
      <xdr:nvSpPr>
        <xdr:cNvPr id="235" name="Line 874"/>
        <xdr:cNvSpPr>
          <a:spLocks/>
        </xdr:cNvSpPr>
      </xdr:nvSpPr>
      <xdr:spPr>
        <a:xfrm>
          <a:off x="5019675" y="8048625"/>
          <a:ext cx="0" cy="1714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38</xdr:row>
      <xdr:rowOff>171450</xdr:rowOff>
    </xdr:from>
    <xdr:to>
      <xdr:col>4</xdr:col>
      <xdr:colOff>685800</xdr:colOff>
      <xdr:row>40</xdr:row>
      <xdr:rowOff>38100</xdr:rowOff>
    </xdr:to>
    <xdr:sp>
      <xdr:nvSpPr>
        <xdr:cNvPr id="236" name="Text Box 875"/>
        <xdr:cNvSpPr txBox="1">
          <a:spLocks noChangeArrowheads="1"/>
        </xdr:cNvSpPr>
      </xdr:nvSpPr>
      <xdr:spPr>
        <a:xfrm>
          <a:off x="3486150" y="8162925"/>
          <a:ext cx="9334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Freeboard =</a:t>
          </a:r>
        </a:p>
      </xdr:txBody>
    </xdr:sp>
    <xdr:clientData/>
  </xdr:twoCellAnchor>
  <xdr:twoCellAnchor>
    <xdr:from>
      <xdr:col>5</xdr:col>
      <xdr:colOff>114300</xdr:colOff>
      <xdr:row>38</xdr:row>
      <xdr:rowOff>171450</xdr:rowOff>
    </xdr:from>
    <xdr:to>
      <xdr:col>5</xdr:col>
      <xdr:colOff>247650</xdr:colOff>
      <xdr:row>39</xdr:row>
      <xdr:rowOff>104775</xdr:rowOff>
    </xdr:to>
    <xdr:sp>
      <xdr:nvSpPr>
        <xdr:cNvPr id="237" name="Freeform 876"/>
        <xdr:cNvSpPr>
          <a:spLocks/>
        </xdr:cNvSpPr>
      </xdr:nvSpPr>
      <xdr:spPr>
        <a:xfrm>
          <a:off x="4886325" y="8162925"/>
          <a:ext cx="133350" cy="114300"/>
        </a:xfrm>
        <a:custGeom>
          <a:pathLst>
            <a:path h="12" w="14">
              <a:moveTo>
                <a:pt x="14" y="0"/>
              </a:moveTo>
              <a:cubicBezTo>
                <a:pt x="14" y="3"/>
                <a:pt x="14" y="7"/>
                <a:pt x="13" y="9"/>
              </a:cubicBezTo>
              <a:cubicBezTo>
                <a:pt x="12" y="11"/>
                <a:pt x="8" y="12"/>
                <a:pt x="6" y="12"/>
              </a:cubicBezTo>
              <a:cubicBezTo>
                <a:pt x="4" y="12"/>
                <a:pt x="1"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25</xdr:row>
      <xdr:rowOff>66675</xdr:rowOff>
    </xdr:from>
    <xdr:to>
      <xdr:col>4</xdr:col>
      <xdr:colOff>742950</xdr:colOff>
      <xdr:row>26</xdr:row>
      <xdr:rowOff>76200</xdr:rowOff>
    </xdr:to>
    <xdr:sp>
      <xdr:nvSpPr>
        <xdr:cNvPr id="238" name="Line 882"/>
        <xdr:cNvSpPr>
          <a:spLocks/>
        </xdr:cNvSpPr>
      </xdr:nvSpPr>
      <xdr:spPr>
        <a:xfrm flipH="1">
          <a:off x="4362450" y="5572125"/>
          <a:ext cx="114300" cy="2000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xdr:row>
      <xdr:rowOff>180975</xdr:rowOff>
    </xdr:from>
    <xdr:to>
      <xdr:col>5</xdr:col>
      <xdr:colOff>266700</xdr:colOff>
      <xdr:row>22</xdr:row>
      <xdr:rowOff>19050</xdr:rowOff>
    </xdr:to>
    <xdr:sp>
      <xdr:nvSpPr>
        <xdr:cNvPr id="239" name="Text Box 883"/>
        <xdr:cNvSpPr txBox="1">
          <a:spLocks noChangeArrowheads="1"/>
        </xdr:cNvSpPr>
      </xdr:nvSpPr>
      <xdr:spPr>
        <a:xfrm>
          <a:off x="4019550" y="4676775"/>
          <a:ext cx="10191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a:t>
          </a:r>
          <a:r>
            <a:rPr lang="en-US" cap="none" sz="1200" b="0" i="0" u="none" baseline="-25000">
              <a:solidFill>
                <a:srgbClr val="000000"/>
              </a:solidFill>
              <a:latin typeface="Arial"/>
              <a:ea typeface="Arial"/>
              <a:cs typeface="Arial"/>
            </a:rPr>
            <a:t>thickness </a:t>
          </a:r>
          <a:r>
            <a:rPr lang="en-US" cap="none" sz="1200" b="0" i="0" u="none" baseline="0">
              <a:solidFill>
                <a:srgbClr val="000000"/>
              </a:solidFill>
              <a:latin typeface="Arial"/>
              <a:ea typeface="Arial"/>
              <a:cs typeface="Arial"/>
            </a:rPr>
            <a:t>=</a:t>
          </a:r>
        </a:p>
      </xdr:txBody>
    </xdr:sp>
    <xdr:clientData/>
  </xdr:twoCellAnchor>
  <xdr:twoCellAnchor>
    <xdr:from>
      <xdr:col>4</xdr:col>
      <xdr:colOff>895350</xdr:colOff>
      <xdr:row>22</xdr:row>
      <xdr:rowOff>9525</xdr:rowOff>
    </xdr:from>
    <xdr:to>
      <xdr:col>5</xdr:col>
      <xdr:colOff>180975</xdr:colOff>
      <xdr:row>24</xdr:row>
      <xdr:rowOff>76200</xdr:rowOff>
    </xdr:to>
    <xdr:sp>
      <xdr:nvSpPr>
        <xdr:cNvPr id="240" name="Line 884"/>
        <xdr:cNvSpPr>
          <a:spLocks/>
        </xdr:cNvSpPr>
      </xdr:nvSpPr>
      <xdr:spPr>
        <a:xfrm flipH="1">
          <a:off x="4629150" y="4924425"/>
          <a:ext cx="323850" cy="4572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38</xdr:row>
      <xdr:rowOff>57150</xdr:rowOff>
    </xdr:from>
    <xdr:to>
      <xdr:col>5</xdr:col>
      <xdr:colOff>800100</xdr:colOff>
      <xdr:row>43</xdr:row>
      <xdr:rowOff>9525</xdr:rowOff>
    </xdr:to>
    <xdr:sp>
      <xdr:nvSpPr>
        <xdr:cNvPr id="241" name="Line 885"/>
        <xdr:cNvSpPr>
          <a:spLocks/>
        </xdr:cNvSpPr>
      </xdr:nvSpPr>
      <xdr:spPr>
        <a:xfrm>
          <a:off x="5095875" y="8048625"/>
          <a:ext cx="476250" cy="904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800100</xdr:colOff>
      <xdr:row>43</xdr:row>
      <xdr:rowOff>9525</xdr:rowOff>
    </xdr:from>
    <xdr:to>
      <xdr:col>7</xdr:col>
      <xdr:colOff>95250</xdr:colOff>
      <xdr:row>43</xdr:row>
      <xdr:rowOff>9525</xdr:rowOff>
    </xdr:to>
    <xdr:sp>
      <xdr:nvSpPr>
        <xdr:cNvPr id="242" name="Line 886"/>
        <xdr:cNvSpPr>
          <a:spLocks/>
        </xdr:cNvSpPr>
      </xdr:nvSpPr>
      <xdr:spPr>
        <a:xfrm>
          <a:off x="5572125" y="8953500"/>
          <a:ext cx="121920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38</xdr:row>
      <xdr:rowOff>66675</xdr:rowOff>
    </xdr:from>
    <xdr:to>
      <xdr:col>7</xdr:col>
      <xdr:colOff>590550</xdr:colOff>
      <xdr:row>43</xdr:row>
      <xdr:rowOff>9525</xdr:rowOff>
    </xdr:to>
    <xdr:sp>
      <xdr:nvSpPr>
        <xdr:cNvPr id="243" name="Line 887"/>
        <xdr:cNvSpPr>
          <a:spLocks/>
        </xdr:cNvSpPr>
      </xdr:nvSpPr>
      <xdr:spPr>
        <a:xfrm flipH="1">
          <a:off x="6781800" y="8058150"/>
          <a:ext cx="504825" cy="8953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40</xdr:row>
      <xdr:rowOff>9525</xdr:rowOff>
    </xdr:from>
    <xdr:to>
      <xdr:col>7</xdr:col>
      <xdr:colOff>933450</xdr:colOff>
      <xdr:row>41</xdr:row>
      <xdr:rowOff>85725</xdr:rowOff>
    </xdr:to>
    <xdr:sp>
      <xdr:nvSpPr>
        <xdr:cNvPr id="244" name="Line 888"/>
        <xdr:cNvSpPr>
          <a:spLocks/>
        </xdr:cNvSpPr>
      </xdr:nvSpPr>
      <xdr:spPr>
        <a:xfrm flipH="1" flipV="1">
          <a:off x="7105650" y="8372475"/>
          <a:ext cx="523875" cy="2667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7</xdr:row>
      <xdr:rowOff>228600</xdr:rowOff>
    </xdr:from>
    <xdr:to>
      <xdr:col>8</xdr:col>
      <xdr:colOff>857250</xdr:colOff>
      <xdr:row>8</xdr:row>
      <xdr:rowOff>238125</xdr:rowOff>
    </xdr:to>
    <xdr:sp>
      <xdr:nvSpPr>
        <xdr:cNvPr id="245" name="Text Box 889"/>
        <xdr:cNvSpPr txBox="1">
          <a:spLocks noChangeArrowheads="1"/>
        </xdr:cNvSpPr>
      </xdr:nvSpPr>
      <xdr:spPr>
        <a:xfrm>
          <a:off x="8029575" y="1771650"/>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371475</xdr:colOff>
      <xdr:row>9</xdr:row>
      <xdr:rowOff>219075</xdr:rowOff>
    </xdr:from>
    <xdr:to>
      <xdr:col>8</xdr:col>
      <xdr:colOff>857250</xdr:colOff>
      <xdr:row>10</xdr:row>
      <xdr:rowOff>228600</xdr:rowOff>
    </xdr:to>
    <xdr:sp>
      <xdr:nvSpPr>
        <xdr:cNvPr id="246" name="Text Box 890"/>
        <xdr:cNvSpPr txBox="1">
          <a:spLocks noChangeArrowheads="1"/>
        </xdr:cNvSpPr>
      </xdr:nvSpPr>
      <xdr:spPr>
        <a:xfrm>
          <a:off x="8029575" y="2257425"/>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381000</xdr:colOff>
      <xdr:row>8</xdr:row>
      <xdr:rowOff>228600</xdr:rowOff>
    </xdr:from>
    <xdr:to>
      <xdr:col>8</xdr:col>
      <xdr:colOff>866775</xdr:colOff>
      <xdr:row>9</xdr:row>
      <xdr:rowOff>238125</xdr:rowOff>
    </xdr:to>
    <xdr:sp>
      <xdr:nvSpPr>
        <xdr:cNvPr id="247" name="Text Box 891"/>
        <xdr:cNvSpPr txBox="1">
          <a:spLocks noChangeArrowheads="1"/>
        </xdr:cNvSpPr>
      </xdr:nvSpPr>
      <xdr:spPr>
        <a:xfrm>
          <a:off x="8039100" y="2019300"/>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2</a:t>
          </a:r>
        </a:p>
      </xdr:txBody>
    </xdr:sp>
    <xdr:clientData/>
  </xdr:twoCellAnchor>
  <xdr:twoCellAnchor>
    <xdr:from>
      <xdr:col>5</xdr:col>
      <xdr:colOff>400050</xdr:colOff>
      <xdr:row>7</xdr:row>
      <xdr:rowOff>190500</xdr:rowOff>
    </xdr:from>
    <xdr:to>
      <xdr:col>5</xdr:col>
      <xdr:colOff>400050</xdr:colOff>
      <xdr:row>10</xdr:row>
      <xdr:rowOff>142875</xdr:rowOff>
    </xdr:to>
    <xdr:sp>
      <xdr:nvSpPr>
        <xdr:cNvPr id="248" name="Line 892"/>
        <xdr:cNvSpPr>
          <a:spLocks/>
        </xdr:cNvSpPr>
      </xdr:nvSpPr>
      <xdr:spPr>
        <a:xfrm>
          <a:off x="5172075" y="1733550"/>
          <a:ext cx="0" cy="6953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47</xdr:row>
      <xdr:rowOff>171450</xdr:rowOff>
    </xdr:from>
    <xdr:to>
      <xdr:col>2</xdr:col>
      <xdr:colOff>942975</xdr:colOff>
      <xdr:row>49</xdr:row>
      <xdr:rowOff>19050</xdr:rowOff>
    </xdr:to>
    <xdr:sp>
      <xdr:nvSpPr>
        <xdr:cNvPr id="249" name="Text Box 908"/>
        <xdr:cNvSpPr txBox="1">
          <a:spLocks noChangeArrowheads="1"/>
        </xdr:cNvSpPr>
      </xdr:nvSpPr>
      <xdr:spPr>
        <a:xfrm>
          <a:off x="2276475" y="9906000"/>
          <a:ext cx="476250"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2</xdr:col>
      <xdr:colOff>466725</xdr:colOff>
      <xdr:row>48</xdr:row>
      <xdr:rowOff>180975</xdr:rowOff>
    </xdr:from>
    <xdr:to>
      <xdr:col>2</xdr:col>
      <xdr:colOff>942975</xdr:colOff>
      <xdr:row>50</xdr:row>
      <xdr:rowOff>28575</xdr:rowOff>
    </xdr:to>
    <xdr:sp>
      <xdr:nvSpPr>
        <xdr:cNvPr id="250" name="Text Box 909"/>
        <xdr:cNvSpPr txBox="1">
          <a:spLocks noChangeArrowheads="1"/>
        </xdr:cNvSpPr>
      </xdr:nvSpPr>
      <xdr:spPr>
        <a:xfrm>
          <a:off x="2276475" y="10106025"/>
          <a:ext cx="476250"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2</xdr:col>
      <xdr:colOff>600075</xdr:colOff>
      <xdr:row>50</xdr:row>
      <xdr:rowOff>9525</xdr:rowOff>
    </xdr:from>
    <xdr:to>
      <xdr:col>3</xdr:col>
      <xdr:colOff>123825</xdr:colOff>
      <xdr:row>51</xdr:row>
      <xdr:rowOff>66675</xdr:rowOff>
    </xdr:to>
    <xdr:sp>
      <xdr:nvSpPr>
        <xdr:cNvPr id="251" name="Text Box 910"/>
        <xdr:cNvSpPr txBox="1">
          <a:spLocks noChangeArrowheads="1"/>
        </xdr:cNvSpPr>
      </xdr:nvSpPr>
      <xdr:spPr>
        <a:xfrm>
          <a:off x="2409825" y="10315575"/>
          <a:ext cx="485775" cy="2476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/ac.</a:t>
          </a:r>
        </a:p>
      </xdr:txBody>
    </xdr:sp>
    <xdr:clientData/>
  </xdr:twoCellAnchor>
  <xdr:twoCellAnchor>
    <xdr:from>
      <xdr:col>2</xdr:col>
      <xdr:colOff>504825</xdr:colOff>
      <xdr:row>44</xdr:row>
      <xdr:rowOff>161925</xdr:rowOff>
    </xdr:from>
    <xdr:to>
      <xdr:col>3</xdr:col>
      <xdr:colOff>28575</xdr:colOff>
      <xdr:row>46</xdr:row>
      <xdr:rowOff>19050</xdr:rowOff>
    </xdr:to>
    <xdr:sp>
      <xdr:nvSpPr>
        <xdr:cNvPr id="252" name="Text Box 911"/>
        <xdr:cNvSpPr txBox="1">
          <a:spLocks noChangeArrowheads="1"/>
        </xdr:cNvSpPr>
      </xdr:nvSpPr>
      <xdr:spPr>
        <a:xfrm>
          <a:off x="2314575" y="9305925"/>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2</xdr:col>
      <xdr:colOff>504825</xdr:colOff>
      <xdr:row>46</xdr:row>
      <xdr:rowOff>171450</xdr:rowOff>
    </xdr:from>
    <xdr:to>
      <xdr:col>3</xdr:col>
      <xdr:colOff>28575</xdr:colOff>
      <xdr:row>48</xdr:row>
      <xdr:rowOff>9525</xdr:rowOff>
    </xdr:to>
    <xdr:sp>
      <xdr:nvSpPr>
        <xdr:cNvPr id="253" name="Text Box 912"/>
        <xdr:cNvSpPr txBox="1">
          <a:spLocks noChangeArrowheads="1"/>
        </xdr:cNvSpPr>
      </xdr:nvSpPr>
      <xdr:spPr>
        <a:xfrm>
          <a:off x="2314575" y="9715500"/>
          <a:ext cx="4857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2</xdr:col>
      <xdr:colOff>466725</xdr:colOff>
      <xdr:row>45</xdr:row>
      <xdr:rowOff>190500</xdr:rowOff>
    </xdr:from>
    <xdr:to>
      <xdr:col>2</xdr:col>
      <xdr:colOff>952500</xdr:colOff>
      <xdr:row>47</xdr:row>
      <xdr:rowOff>28575</xdr:rowOff>
    </xdr:to>
    <xdr:sp>
      <xdr:nvSpPr>
        <xdr:cNvPr id="254" name="Text Box 913"/>
        <xdr:cNvSpPr txBox="1">
          <a:spLocks noChangeArrowheads="1"/>
        </xdr:cNvSpPr>
      </xdr:nvSpPr>
      <xdr:spPr>
        <a:xfrm>
          <a:off x="2276475" y="9525000"/>
          <a:ext cx="48577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2</a:t>
          </a:r>
        </a:p>
      </xdr:txBody>
    </xdr:sp>
    <xdr:clientData/>
  </xdr:twoCellAnchor>
  <xdr:twoCellAnchor>
    <xdr:from>
      <xdr:col>0</xdr:col>
      <xdr:colOff>552450</xdr:colOff>
      <xdr:row>14</xdr:row>
      <xdr:rowOff>47625</xdr:rowOff>
    </xdr:from>
    <xdr:to>
      <xdr:col>6</xdr:col>
      <xdr:colOff>28575</xdr:colOff>
      <xdr:row>18</xdr:row>
      <xdr:rowOff>123825</xdr:rowOff>
    </xdr:to>
    <xdr:sp>
      <xdr:nvSpPr>
        <xdr:cNvPr id="255" name="Text Box 916"/>
        <xdr:cNvSpPr txBox="1">
          <a:spLocks noChangeArrowheads="1"/>
        </xdr:cNvSpPr>
      </xdr:nvSpPr>
      <xdr:spPr>
        <a:xfrm>
          <a:off x="552450" y="3324225"/>
          <a:ext cx="5210175" cy="876300"/>
        </a:xfrm>
        <a:prstGeom prst="rect">
          <a:avLst/>
        </a:prstGeom>
        <a:noFill/>
        <a:ln w="12700" cmpd="sng">
          <a:noFill/>
        </a:ln>
      </xdr:spPr>
      <xdr:txBody>
        <a:bodyPr vertOverflow="clip" wrap="square" lIns="36576" tIns="22860" rIns="0" bIns="0"/>
        <a:p>
          <a:pPr algn="l">
            <a:defRPr/>
          </a:pPr>
          <a:r>
            <a:rPr lang="en-US" cap="none" sz="1200" b="1" i="1" u="sng" baseline="0">
              <a:solidFill>
                <a:srgbClr val="000000"/>
              </a:solidFill>
              <a:latin typeface="Arial"/>
              <a:ea typeface="Arial"/>
              <a:cs typeface="Arial"/>
            </a:rPr>
            <a:t>Notes</a:t>
          </a:r>
          <a:r>
            <a:rPr lang="en-US" cap="none" sz="1200" b="0" i="0" u="none" baseline="0">
              <a:solidFill>
                <a:srgbClr val="000000"/>
              </a:solidFill>
              <a:latin typeface="Arial"/>
              <a:ea typeface="Arial"/>
              <a:cs typeface="Arial"/>
            </a:rPr>
            <a:t>:  </a:t>
          </a:r>
          <a:r>
            <a:rPr lang="en-US" cap="none" sz="1200" b="0" i="1" u="none" baseline="30000">
              <a:solidFill>
                <a:srgbClr val="000000"/>
              </a:solidFill>
              <a:latin typeface="Arial"/>
              <a:ea typeface="Arial"/>
              <a:cs typeface="Arial"/>
            </a:rPr>
            <a:t>a</a:t>
          </a:r>
          <a:r>
            <a:rPr lang="en-US" cap="none" sz="1200" b="0" i="1" u="none" baseline="0">
              <a:solidFill>
                <a:srgbClr val="000000"/>
              </a:solidFill>
              <a:latin typeface="Arial"/>
              <a:ea typeface="Arial"/>
              <a:cs typeface="Arial"/>
            </a:rPr>
            <a:t> Rock, bedding, and geotextile quantities are determined 
</a:t>
          </a:r>
          <a:r>
            <a:rPr lang="en-US" cap="none" sz="1200" b="0" i="1" u="none" baseline="0">
              <a:solidFill>
                <a:srgbClr val="000000"/>
              </a:solidFill>
              <a:latin typeface="Arial"/>
              <a:ea typeface="Arial"/>
              <a:cs typeface="Arial"/>
            </a:rPr>
            <a:t>                from the x-section below (neglect radius).
</a:t>
          </a:r>
          <a:r>
            <a:rPr lang="en-US" cap="none" sz="1200" b="0" i="1" u="none" baseline="0">
              <a:solidFill>
                <a:srgbClr val="000000"/>
              </a:solidFill>
              <a:latin typeface="Arial"/>
              <a:ea typeface="Arial"/>
              <a:cs typeface="Arial"/>
            </a:rPr>
            <a:t>             </a:t>
          </a:r>
          <a:r>
            <a:rPr lang="en-US" cap="none" sz="1200" b="0" i="1" u="none" baseline="30000">
              <a:solidFill>
                <a:srgbClr val="000000"/>
              </a:solidFill>
              <a:latin typeface="Arial"/>
              <a:ea typeface="Arial"/>
              <a:cs typeface="Arial"/>
            </a:rPr>
            <a:t>b</a:t>
          </a:r>
          <a:r>
            <a:rPr lang="en-US" cap="none" sz="1200" b="0" i="1" u="none" baseline="0">
              <a:solidFill>
                <a:srgbClr val="000000"/>
              </a:solidFill>
              <a:latin typeface="Arial"/>
              <a:ea typeface="Arial"/>
              <a:cs typeface="Arial"/>
            </a:rPr>
            <a:t> Geotextile Class I (non-woven) shall be overlapped  
</a:t>
          </a:r>
          <a:r>
            <a:rPr lang="en-US" cap="none" sz="1200" b="0" i="1" u="none" baseline="0">
              <a:solidFill>
                <a:srgbClr val="000000"/>
              </a:solidFill>
              <a:latin typeface="Arial"/>
              <a:ea typeface="Arial"/>
              <a:cs typeface="Arial"/>
            </a:rPr>
            <a:t>               and anchored (18-in. min. along sides and 24-in. min. on the ends).</a:t>
          </a:r>
        </a:p>
      </xdr:txBody>
    </xdr:sp>
    <xdr:clientData/>
  </xdr:twoCellAnchor>
  <xdr:twoCellAnchor>
    <xdr:from>
      <xdr:col>2</xdr:col>
      <xdr:colOff>485775</xdr:colOff>
      <xdr:row>22</xdr:row>
      <xdr:rowOff>76200</xdr:rowOff>
    </xdr:from>
    <xdr:to>
      <xdr:col>2</xdr:col>
      <xdr:colOff>942975</xdr:colOff>
      <xdr:row>22</xdr:row>
      <xdr:rowOff>76200</xdr:rowOff>
    </xdr:to>
    <xdr:sp>
      <xdr:nvSpPr>
        <xdr:cNvPr id="256" name="Line 917"/>
        <xdr:cNvSpPr>
          <a:spLocks/>
        </xdr:cNvSpPr>
      </xdr:nvSpPr>
      <xdr:spPr>
        <a:xfrm>
          <a:off x="2295525" y="4991100"/>
          <a:ext cx="4572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22</xdr:row>
      <xdr:rowOff>95250</xdr:rowOff>
    </xdr:from>
    <xdr:to>
      <xdr:col>3</xdr:col>
      <xdr:colOff>523875</xdr:colOff>
      <xdr:row>22</xdr:row>
      <xdr:rowOff>95250</xdr:rowOff>
    </xdr:to>
    <xdr:sp>
      <xdr:nvSpPr>
        <xdr:cNvPr id="257" name="Line 918"/>
        <xdr:cNvSpPr>
          <a:spLocks/>
        </xdr:cNvSpPr>
      </xdr:nvSpPr>
      <xdr:spPr>
        <a:xfrm>
          <a:off x="3162300" y="5010150"/>
          <a:ext cx="1333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66675</xdr:rowOff>
    </xdr:from>
    <xdr:to>
      <xdr:col>5</xdr:col>
      <xdr:colOff>800100</xdr:colOff>
      <xdr:row>30</xdr:row>
      <xdr:rowOff>85725</xdr:rowOff>
    </xdr:to>
    <xdr:sp>
      <xdr:nvSpPr>
        <xdr:cNvPr id="258" name="Line 921"/>
        <xdr:cNvSpPr>
          <a:spLocks/>
        </xdr:cNvSpPr>
      </xdr:nvSpPr>
      <xdr:spPr>
        <a:xfrm>
          <a:off x="3819525" y="5191125"/>
          <a:ext cx="1752600" cy="13525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800100</xdr:colOff>
      <xdr:row>30</xdr:row>
      <xdr:rowOff>85725</xdr:rowOff>
    </xdr:from>
    <xdr:to>
      <xdr:col>6</xdr:col>
      <xdr:colOff>247650</xdr:colOff>
      <xdr:row>30</xdr:row>
      <xdr:rowOff>85725</xdr:rowOff>
    </xdr:to>
    <xdr:sp>
      <xdr:nvSpPr>
        <xdr:cNvPr id="259" name="Line 922"/>
        <xdr:cNvSpPr>
          <a:spLocks/>
        </xdr:cNvSpPr>
      </xdr:nvSpPr>
      <xdr:spPr>
        <a:xfrm>
          <a:off x="5572125" y="6543675"/>
          <a:ext cx="40957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30</xdr:row>
      <xdr:rowOff>85725</xdr:rowOff>
    </xdr:from>
    <xdr:to>
      <xdr:col>7</xdr:col>
      <xdr:colOff>66675</xdr:colOff>
      <xdr:row>30</xdr:row>
      <xdr:rowOff>85725</xdr:rowOff>
    </xdr:to>
    <xdr:sp>
      <xdr:nvSpPr>
        <xdr:cNvPr id="260" name="Line 923"/>
        <xdr:cNvSpPr>
          <a:spLocks/>
        </xdr:cNvSpPr>
      </xdr:nvSpPr>
      <xdr:spPr>
        <a:xfrm>
          <a:off x="6410325" y="6543675"/>
          <a:ext cx="3524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29</xdr:row>
      <xdr:rowOff>133350</xdr:rowOff>
    </xdr:from>
    <xdr:to>
      <xdr:col>7</xdr:col>
      <xdr:colOff>295275</xdr:colOff>
      <xdr:row>30</xdr:row>
      <xdr:rowOff>85725</xdr:rowOff>
    </xdr:to>
    <xdr:sp>
      <xdr:nvSpPr>
        <xdr:cNvPr id="261" name="Line 924"/>
        <xdr:cNvSpPr>
          <a:spLocks/>
        </xdr:cNvSpPr>
      </xdr:nvSpPr>
      <xdr:spPr>
        <a:xfrm flipV="1">
          <a:off x="6762750" y="6400800"/>
          <a:ext cx="228600" cy="14287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29</xdr:row>
      <xdr:rowOff>38100</xdr:rowOff>
    </xdr:from>
    <xdr:to>
      <xdr:col>7</xdr:col>
      <xdr:colOff>295275</xdr:colOff>
      <xdr:row>29</xdr:row>
      <xdr:rowOff>133350</xdr:rowOff>
    </xdr:to>
    <xdr:sp>
      <xdr:nvSpPr>
        <xdr:cNvPr id="262" name="Line 925"/>
        <xdr:cNvSpPr>
          <a:spLocks/>
        </xdr:cNvSpPr>
      </xdr:nvSpPr>
      <xdr:spPr>
        <a:xfrm flipV="1">
          <a:off x="6991350" y="6305550"/>
          <a:ext cx="0" cy="952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22</xdr:row>
      <xdr:rowOff>85725</xdr:rowOff>
    </xdr:from>
    <xdr:to>
      <xdr:col>2</xdr:col>
      <xdr:colOff>676275</xdr:colOff>
      <xdr:row>23</xdr:row>
      <xdr:rowOff>142875</xdr:rowOff>
    </xdr:to>
    <xdr:sp>
      <xdr:nvSpPr>
        <xdr:cNvPr id="263" name="Line 926"/>
        <xdr:cNvSpPr>
          <a:spLocks/>
        </xdr:cNvSpPr>
      </xdr:nvSpPr>
      <xdr:spPr>
        <a:xfrm flipV="1">
          <a:off x="2476500" y="5000625"/>
          <a:ext cx="9525" cy="2667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22</xdr:row>
      <xdr:rowOff>95250</xdr:rowOff>
    </xdr:from>
    <xdr:to>
      <xdr:col>4</xdr:col>
      <xdr:colOff>114300</xdr:colOff>
      <xdr:row>23</xdr:row>
      <xdr:rowOff>85725</xdr:rowOff>
    </xdr:to>
    <xdr:sp>
      <xdr:nvSpPr>
        <xdr:cNvPr id="264" name="Freeform 927"/>
        <xdr:cNvSpPr>
          <a:spLocks/>
        </xdr:cNvSpPr>
      </xdr:nvSpPr>
      <xdr:spPr>
        <a:xfrm>
          <a:off x="3305175" y="5010150"/>
          <a:ext cx="542925" cy="200025"/>
        </a:xfrm>
        <a:custGeom>
          <a:pathLst>
            <a:path h="16" w="55">
              <a:moveTo>
                <a:pt x="0" y="0"/>
              </a:moveTo>
              <a:cubicBezTo>
                <a:pt x="11" y="0"/>
                <a:pt x="22" y="1"/>
                <a:pt x="31" y="4"/>
              </a:cubicBezTo>
              <a:cubicBezTo>
                <a:pt x="40" y="7"/>
                <a:pt x="51" y="14"/>
                <a:pt x="55" y="16"/>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8</xdr:row>
      <xdr:rowOff>190500</xdr:rowOff>
    </xdr:from>
    <xdr:to>
      <xdr:col>5</xdr:col>
      <xdr:colOff>400050</xdr:colOff>
      <xdr:row>11</xdr:row>
      <xdr:rowOff>142875</xdr:rowOff>
    </xdr:to>
    <xdr:sp>
      <xdr:nvSpPr>
        <xdr:cNvPr id="265" name="Line 931"/>
        <xdr:cNvSpPr>
          <a:spLocks/>
        </xdr:cNvSpPr>
      </xdr:nvSpPr>
      <xdr:spPr>
        <a:xfrm>
          <a:off x="5172075" y="1981200"/>
          <a:ext cx="0" cy="6953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9</xdr:row>
      <xdr:rowOff>28575</xdr:rowOff>
    </xdr:from>
    <xdr:to>
      <xdr:col>4</xdr:col>
      <xdr:colOff>276225</xdr:colOff>
      <xdr:row>9</xdr:row>
      <xdr:rowOff>219075</xdr:rowOff>
    </xdr:to>
    <xdr:sp>
      <xdr:nvSpPr>
        <xdr:cNvPr id="266" name="Text Box 932"/>
        <xdr:cNvSpPr txBox="1">
          <a:spLocks noChangeArrowheads="1"/>
        </xdr:cNvSpPr>
      </xdr:nvSpPr>
      <xdr:spPr>
        <a:xfrm>
          <a:off x="3514725" y="206692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742950</xdr:colOff>
      <xdr:row>10</xdr:row>
      <xdr:rowOff>28575</xdr:rowOff>
    </xdr:from>
    <xdr:to>
      <xdr:col>4</xdr:col>
      <xdr:colOff>276225</xdr:colOff>
      <xdr:row>10</xdr:row>
      <xdr:rowOff>219075</xdr:rowOff>
    </xdr:to>
    <xdr:sp>
      <xdr:nvSpPr>
        <xdr:cNvPr id="267" name="Text Box 933"/>
        <xdr:cNvSpPr txBox="1">
          <a:spLocks noChangeArrowheads="1"/>
        </xdr:cNvSpPr>
      </xdr:nvSpPr>
      <xdr:spPr>
        <a:xfrm>
          <a:off x="3514725" y="23145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742950</xdr:colOff>
      <xdr:row>11</xdr:row>
      <xdr:rowOff>19050</xdr:rowOff>
    </xdr:from>
    <xdr:to>
      <xdr:col>4</xdr:col>
      <xdr:colOff>276225</xdr:colOff>
      <xdr:row>11</xdr:row>
      <xdr:rowOff>209550</xdr:rowOff>
    </xdr:to>
    <xdr:sp>
      <xdr:nvSpPr>
        <xdr:cNvPr id="268" name="Text Box 934"/>
        <xdr:cNvSpPr txBox="1">
          <a:spLocks noChangeArrowheads="1"/>
        </xdr:cNvSpPr>
      </xdr:nvSpPr>
      <xdr:spPr>
        <a:xfrm>
          <a:off x="3514725" y="2552700"/>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742950</xdr:colOff>
      <xdr:row>12</xdr:row>
      <xdr:rowOff>28575</xdr:rowOff>
    </xdr:from>
    <xdr:to>
      <xdr:col>4</xdr:col>
      <xdr:colOff>276225</xdr:colOff>
      <xdr:row>12</xdr:row>
      <xdr:rowOff>219075</xdr:rowOff>
    </xdr:to>
    <xdr:sp>
      <xdr:nvSpPr>
        <xdr:cNvPr id="269" name="Text Box 935"/>
        <xdr:cNvSpPr txBox="1">
          <a:spLocks noChangeArrowheads="1"/>
        </xdr:cNvSpPr>
      </xdr:nvSpPr>
      <xdr:spPr>
        <a:xfrm>
          <a:off x="3514725" y="28098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7</xdr:col>
      <xdr:colOff>428625</xdr:colOff>
      <xdr:row>39</xdr:row>
      <xdr:rowOff>9525</xdr:rowOff>
    </xdr:from>
    <xdr:to>
      <xdr:col>7</xdr:col>
      <xdr:colOff>571500</xdr:colOff>
      <xdr:row>39</xdr:row>
      <xdr:rowOff>95250</xdr:rowOff>
    </xdr:to>
    <xdr:sp>
      <xdr:nvSpPr>
        <xdr:cNvPr id="270" name="Line 936"/>
        <xdr:cNvSpPr>
          <a:spLocks/>
        </xdr:cNvSpPr>
      </xdr:nvSpPr>
      <xdr:spPr>
        <a:xfrm flipH="1" flipV="1">
          <a:off x="7124700" y="8181975"/>
          <a:ext cx="142875" cy="85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37</xdr:row>
      <xdr:rowOff>161925</xdr:rowOff>
    </xdr:from>
    <xdr:to>
      <xdr:col>8</xdr:col>
      <xdr:colOff>104775</xdr:colOff>
      <xdr:row>39</xdr:row>
      <xdr:rowOff>85725</xdr:rowOff>
    </xdr:to>
    <xdr:sp>
      <xdr:nvSpPr>
        <xdr:cNvPr id="271" name="Line 937"/>
        <xdr:cNvSpPr>
          <a:spLocks/>
        </xdr:cNvSpPr>
      </xdr:nvSpPr>
      <xdr:spPr>
        <a:xfrm flipH="1">
          <a:off x="7410450" y="7972425"/>
          <a:ext cx="352425"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39</xdr:row>
      <xdr:rowOff>85725</xdr:rowOff>
    </xdr:from>
    <xdr:to>
      <xdr:col>7</xdr:col>
      <xdr:colOff>714375</xdr:colOff>
      <xdr:row>39</xdr:row>
      <xdr:rowOff>114300</xdr:rowOff>
    </xdr:to>
    <xdr:sp>
      <xdr:nvSpPr>
        <xdr:cNvPr id="272" name="Freeform 939"/>
        <xdr:cNvSpPr>
          <a:spLocks/>
        </xdr:cNvSpPr>
      </xdr:nvSpPr>
      <xdr:spPr>
        <a:xfrm>
          <a:off x="7267575" y="8258175"/>
          <a:ext cx="142875" cy="28575"/>
        </a:xfrm>
        <a:custGeom>
          <a:pathLst>
            <a:path h="3" w="15">
              <a:moveTo>
                <a:pt x="0" y="1"/>
              </a:moveTo>
              <a:cubicBezTo>
                <a:pt x="1" y="2"/>
                <a:pt x="3" y="3"/>
                <a:pt x="5" y="3"/>
              </a:cubicBezTo>
              <a:cubicBezTo>
                <a:pt x="7" y="3"/>
                <a:pt x="9" y="3"/>
                <a:pt x="11" y="2"/>
              </a:cubicBezTo>
              <a:cubicBezTo>
                <a:pt x="13" y="1"/>
                <a:pt x="14" y="0"/>
                <a:pt x="15"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23</xdr:row>
      <xdr:rowOff>38100</xdr:rowOff>
    </xdr:from>
    <xdr:to>
      <xdr:col>2</xdr:col>
      <xdr:colOff>152400</xdr:colOff>
      <xdr:row>25</xdr:row>
      <xdr:rowOff>47625</xdr:rowOff>
    </xdr:to>
    <xdr:sp>
      <xdr:nvSpPr>
        <xdr:cNvPr id="273" name="Text Box 940"/>
        <xdr:cNvSpPr txBox="1">
          <a:spLocks noChangeArrowheads="1"/>
        </xdr:cNvSpPr>
      </xdr:nvSpPr>
      <xdr:spPr>
        <a:xfrm>
          <a:off x="914400" y="5162550"/>
          <a:ext cx="1047750" cy="3905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Chute
</a:t>
          </a:r>
          <a:r>
            <a:rPr lang="en-US" cap="none" sz="1200" b="0" i="0" u="none" baseline="0">
              <a:solidFill>
                <a:srgbClr val="000000"/>
              </a:solidFill>
              <a:latin typeface="Arial"/>
              <a:ea typeface="Arial"/>
              <a:cs typeface="Arial"/>
            </a:rPr>
            <a:t>Bedding</a:t>
          </a:r>
        </a:p>
      </xdr:txBody>
    </xdr:sp>
    <xdr:clientData/>
  </xdr:twoCellAnchor>
  <xdr:twoCellAnchor>
    <xdr:from>
      <xdr:col>1</xdr:col>
      <xdr:colOff>923925</xdr:colOff>
      <xdr:row>24</xdr:row>
      <xdr:rowOff>47625</xdr:rowOff>
    </xdr:from>
    <xdr:to>
      <xdr:col>2</xdr:col>
      <xdr:colOff>485775</xdr:colOff>
      <xdr:row>24</xdr:row>
      <xdr:rowOff>47625</xdr:rowOff>
    </xdr:to>
    <xdr:sp>
      <xdr:nvSpPr>
        <xdr:cNvPr id="274" name="Line 941"/>
        <xdr:cNvSpPr>
          <a:spLocks/>
        </xdr:cNvSpPr>
      </xdr:nvSpPr>
      <xdr:spPr>
        <a:xfrm>
          <a:off x="1666875" y="5353050"/>
          <a:ext cx="628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23</xdr:row>
      <xdr:rowOff>123825</xdr:rowOff>
    </xdr:from>
    <xdr:to>
      <xdr:col>2</xdr:col>
      <xdr:colOff>666750</xdr:colOff>
      <xdr:row>24</xdr:row>
      <xdr:rowOff>47625</xdr:rowOff>
    </xdr:to>
    <xdr:sp>
      <xdr:nvSpPr>
        <xdr:cNvPr id="275" name="Freeform 943"/>
        <xdr:cNvSpPr>
          <a:spLocks/>
        </xdr:cNvSpPr>
      </xdr:nvSpPr>
      <xdr:spPr>
        <a:xfrm>
          <a:off x="2276475" y="5248275"/>
          <a:ext cx="200025" cy="104775"/>
        </a:xfrm>
        <a:custGeom>
          <a:pathLst>
            <a:path h="14" w="21">
              <a:moveTo>
                <a:pt x="0" y="14"/>
              </a:moveTo>
              <a:cubicBezTo>
                <a:pt x="3" y="14"/>
                <a:pt x="6" y="14"/>
                <a:pt x="8" y="14"/>
              </a:cubicBezTo>
              <a:cubicBezTo>
                <a:pt x="10" y="14"/>
                <a:pt x="13" y="14"/>
                <a:pt x="15" y="13"/>
              </a:cubicBezTo>
              <a:cubicBezTo>
                <a:pt x="17" y="12"/>
                <a:pt x="18" y="11"/>
                <a:pt x="19" y="10"/>
              </a:cubicBezTo>
              <a:cubicBezTo>
                <a:pt x="20" y="9"/>
                <a:pt x="21" y="8"/>
                <a:pt x="21" y="6"/>
              </a:cubicBezTo>
              <a:cubicBezTo>
                <a:pt x="21" y="4"/>
                <a:pt x="21" y="1"/>
                <a:pt x="21"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18</xdr:row>
      <xdr:rowOff>104775</xdr:rowOff>
    </xdr:from>
    <xdr:to>
      <xdr:col>2</xdr:col>
      <xdr:colOff>476250</xdr:colOff>
      <xdr:row>20</xdr:row>
      <xdr:rowOff>171450</xdr:rowOff>
    </xdr:to>
    <xdr:sp>
      <xdr:nvSpPr>
        <xdr:cNvPr id="276" name="Line 944"/>
        <xdr:cNvSpPr>
          <a:spLocks/>
        </xdr:cNvSpPr>
      </xdr:nvSpPr>
      <xdr:spPr>
        <a:xfrm flipV="1">
          <a:off x="2286000" y="4181475"/>
          <a:ext cx="0" cy="485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18</xdr:row>
      <xdr:rowOff>104775</xdr:rowOff>
    </xdr:from>
    <xdr:to>
      <xdr:col>2</xdr:col>
      <xdr:colOff>504825</xdr:colOff>
      <xdr:row>21</xdr:row>
      <xdr:rowOff>66675</xdr:rowOff>
    </xdr:to>
    <xdr:sp>
      <xdr:nvSpPr>
        <xdr:cNvPr id="277" name="Text Box 945"/>
        <xdr:cNvSpPr txBox="1">
          <a:spLocks noChangeArrowheads="1"/>
        </xdr:cNvSpPr>
      </xdr:nvSpPr>
      <xdr:spPr>
        <a:xfrm>
          <a:off x="2066925" y="4181475"/>
          <a:ext cx="247650" cy="590550"/>
        </a:xfrm>
        <a:prstGeom prst="rect">
          <a:avLst/>
        </a:prstGeom>
        <a:noFill/>
        <a:ln w="12700" cmpd="sng">
          <a:noFill/>
        </a:ln>
      </xdr:spPr>
      <xdr:txBody>
        <a:bodyPr vertOverflow="clip" wrap="square" lIns="27432" tIns="22860" rIns="0" bIns="0" vert="vert270"/>
        <a:p>
          <a:pPr algn="l">
            <a:defRPr/>
          </a:pPr>
          <a:r>
            <a:rPr lang="en-US" cap="none" sz="1100" b="0" i="0" u="none" baseline="0">
              <a:solidFill>
                <a:srgbClr val="FF00FF"/>
              </a:solidFill>
              <a:latin typeface="Arial"/>
              <a:ea typeface="Arial"/>
              <a:cs typeface="Arial"/>
            </a:rPr>
            <a:t>Station</a:t>
          </a:r>
        </a:p>
      </xdr:txBody>
    </xdr:sp>
    <xdr:clientData/>
  </xdr:twoCellAnchor>
  <xdr:twoCellAnchor>
    <xdr:from>
      <xdr:col>2</xdr:col>
      <xdr:colOff>476250</xdr:colOff>
      <xdr:row>20</xdr:row>
      <xdr:rowOff>47625</xdr:rowOff>
    </xdr:from>
    <xdr:to>
      <xdr:col>2</xdr:col>
      <xdr:colOff>609600</xdr:colOff>
      <xdr:row>21</xdr:row>
      <xdr:rowOff>9525</xdr:rowOff>
    </xdr:to>
    <xdr:sp>
      <xdr:nvSpPr>
        <xdr:cNvPr id="278" name="Text Box 947"/>
        <xdr:cNvSpPr txBox="1">
          <a:spLocks noChangeArrowheads="1"/>
        </xdr:cNvSpPr>
      </xdr:nvSpPr>
      <xdr:spPr>
        <a:xfrm>
          <a:off x="2286000" y="4543425"/>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1</a:t>
          </a:r>
        </a:p>
      </xdr:txBody>
    </xdr:sp>
    <xdr:clientData/>
  </xdr:twoCellAnchor>
  <xdr:twoCellAnchor>
    <xdr:from>
      <xdr:col>3</xdr:col>
      <xdr:colOff>638175</xdr:colOff>
      <xdr:row>20</xdr:row>
      <xdr:rowOff>76200</xdr:rowOff>
    </xdr:from>
    <xdr:to>
      <xdr:col>3</xdr:col>
      <xdr:colOff>771525</xdr:colOff>
      <xdr:row>21</xdr:row>
      <xdr:rowOff>38100</xdr:rowOff>
    </xdr:to>
    <xdr:sp>
      <xdr:nvSpPr>
        <xdr:cNvPr id="279" name="Text Box 949"/>
        <xdr:cNvSpPr txBox="1">
          <a:spLocks noChangeArrowheads="1"/>
        </xdr:cNvSpPr>
      </xdr:nvSpPr>
      <xdr:spPr>
        <a:xfrm>
          <a:off x="3409950" y="457200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2</a:t>
          </a:r>
        </a:p>
      </xdr:txBody>
    </xdr:sp>
    <xdr:clientData/>
  </xdr:twoCellAnchor>
  <xdr:twoCellAnchor>
    <xdr:from>
      <xdr:col>3</xdr:col>
      <xdr:colOff>876300</xdr:colOff>
      <xdr:row>20</xdr:row>
      <xdr:rowOff>57150</xdr:rowOff>
    </xdr:from>
    <xdr:to>
      <xdr:col>4</xdr:col>
      <xdr:colOff>47625</xdr:colOff>
      <xdr:row>21</xdr:row>
      <xdr:rowOff>28575</xdr:rowOff>
    </xdr:to>
    <xdr:sp>
      <xdr:nvSpPr>
        <xdr:cNvPr id="280" name="Text Box 950"/>
        <xdr:cNvSpPr txBox="1">
          <a:spLocks noChangeArrowheads="1"/>
        </xdr:cNvSpPr>
      </xdr:nvSpPr>
      <xdr:spPr>
        <a:xfrm>
          <a:off x="3648075" y="4552950"/>
          <a:ext cx="133350" cy="180975"/>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3</a:t>
          </a:r>
        </a:p>
      </xdr:txBody>
    </xdr:sp>
    <xdr:clientData/>
  </xdr:twoCellAnchor>
  <xdr:twoCellAnchor>
    <xdr:from>
      <xdr:col>4</xdr:col>
      <xdr:colOff>133350</xdr:colOff>
      <xdr:row>20</xdr:row>
      <xdr:rowOff>180975</xdr:rowOff>
    </xdr:from>
    <xdr:to>
      <xdr:col>4</xdr:col>
      <xdr:colOff>266700</xdr:colOff>
      <xdr:row>21</xdr:row>
      <xdr:rowOff>123825</xdr:rowOff>
    </xdr:to>
    <xdr:sp>
      <xdr:nvSpPr>
        <xdr:cNvPr id="281" name="Text Box 951"/>
        <xdr:cNvSpPr txBox="1">
          <a:spLocks noChangeArrowheads="1"/>
        </xdr:cNvSpPr>
      </xdr:nvSpPr>
      <xdr:spPr>
        <a:xfrm>
          <a:off x="3867150" y="4676775"/>
          <a:ext cx="133350" cy="15240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4</a:t>
          </a:r>
        </a:p>
      </xdr:txBody>
    </xdr:sp>
    <xdr:clientData/>
  </xdr:twoCellAnchor>
  <xdr:twoCellAnchor>
    <xdr:from>
      <xdr:col>3</xdr:col>
      <xdr:colOff>609600</xdr:colOff>
      <xdr:row>21</xdr:row>
      <xdr:rowOff>0</xdr:rowOff>
    </xdr:from>
    <xdr:to>
      <xdr:col>3</xdr:col>
      <xdr:colOff>952500</xdr:colOff>
      <xdr:row>21</xdr:row>
      <xdr:rowOff>0</xdr:rowOff>
    </xdr:to>
    <xdr:sp>
      <xdr:nvSpPr>
        <xdr:cNvPr id="282" name="Line 952"/>
        <xdr:cNvSpPr>
          <a:spLocks/>
        </xdr:cNvSpPr>
      </xdr:nvSpPr>
      <xdr:spPr>
        <a:xfrm>
          <a:off x="3381375" y="4705350"/>
          <a:ext cx="3429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21</xdr:row>
      <xdr:rowOff>0</xdr:rowOff>
    </xdr:from>
    <xdr:to>
      <xdr:col>4</xdr:col>
      <xdr:colOff>238125</xdr:colOff>
      <xdr:row>21</xdr:row>
      <xdr:rowOff>161925</xdr:rowOff>
    </xdr:to>
    <xdr:sp>
      <xdr:nvSpPr>
        <xdr:cNvPr id="283" name="Line 953"/>
        <xdr:cNvSpPr>
          <a:spLocks/>
        </xdr:cNvSpPr>
      </xdr:nvSpPr>
      <xdr:spPr>
        <a:xfrm>
          <a:off x="3714750" y="4705350"/>
          <a:ext cx="257175" cy="1619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27</xdr:row>
      <xdr:rowOff>161925</xdr:rowOff>
    </xdr:from>
    <xdr:to>
      <xdr:col>6</xdr:col>
      <xdr:colOff>95250</xdr:colOff>
      <xdr:row>28</xdr:row>
      <xdr:rowOff>152400</xdr:rowOff>
    </xdr:to>
    <xdr:sp>
      <xdr:nvSpPr>
        <xdr:cNvPr id="284" name="Text Box 954"/>
        <xdr:cNvSpPr txBox="1">
          <a:spLocks noChangeArrowheads="1"/>
        </xdr:cNvSpPr>
      </xdr:nvSpPr>
      <xdr:spPr>
        <a:xfrm>
          <a:off x="5695950" y="605790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5</a:t>
          </a:r>
        </a:p>
      </xdr:txBody>
    </xdr:sp>
    <xdr:clientData/>
  </xdr:twoCellAnchor>
  <xdr:twoCellAnchor>
    <xdr:from>
      <xdr:col>6</xdr:col>
      <xdr:colOff>952500</xdr:colOff>
      <xdr:row>28</xdr:row>
      <xdr:rowOff>9525</xdr:rowOff>
    </xdr:from>
    <xdr:to>
      <xdr:col>7</xdr:col>
      <xdr:colOff>123825</xdr:colOff>
      <xdr:row>28</xdr:row>
      <xdr:rowOff>180975</xdr:rowOff>
    </xdr:to>
    <xdr:sp>
      <xdr:nvSpPr>
        <xdr:cNvPr id="285" name="Text Box 955"/>
        <xdr:cNvSpPr txBox="1">
          <a:spLocks noChangeArrowheads="1"/>
        </xdr:cNvSpPr>
      </xdr:nvSpPr>
      <xdr:spPr>
        <a:xfrm>
          <a:off x="6686550" y="6086475"/>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6</a:t>
          </a:r>
        </a:p>
      </xdr:txBody>
    </xdr:sp>
    <xdr:clientData/>
  </xdr:twoCellAnchor>
  <xdr:twoCellAnchor>
    <xdr:from>
      <xdr:col>7</xdr:col>
      <xdr:colOff>200025</xdr:colOff>
      <xdr:row>27</xdr:row>
      <xdr:rowOff>19050</xdr:rowOff>
    </xdr:from>
    <xdr:to>
      <xdr:col>7</xdr:col>
      <xdr:colOff>333375</xdr:colOff>
      <xdr:row>28</xdr:row>
      <xdr:rowOff>9525</xdr:rowOff>
    </xdr:to>
    <xdr:sp>
      <xdr:nvSpPr>
        <xdr:cNvPr id="286" name="Text Box 956"/>
        <xdr:cNvSpPr txBox="1">
          <a:spLocks noChangeArrowheads="1"/>
        </xdr:cNvSpPr>
      </xdr:nvSpPr>
      <xdr:spPr>
        <a:xfrm>
          <a:off x="6896100" y="5915025"/>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FF00FF"/>
              </a:solidFill>
              <a:latin typeface="Arial"/>
              <a:ea typeface="Arial"/>
              <a:cs typeface="Arial"/>
            </a:rPr>
            <a:t>7</a:t>
          </a:r>
        </a:p>
      </xdr:txBody>
    </xdr:sp>
    <xdr:clientData/>
  </xdr:twoCellAnchor>
  <xdr:twoCellAnchor>
    <xdr:from>
      <xdr:col>0</xdr:col>
      <xdr:colOff>542925</xdr:colOff>
      <xdr:row>10</xdr:row>
      <xdr:rowOff>85725</xdr:rowOff>
    </xdr:from>
    <xdr:to>
      <xdr:col>1</xdr:col>
      <xdr:colOff>9525</xdr:colOff>
      <xdr:row>11</xdr:row>
      <xdr:rowOff>38100</xdr:rowOff>
    </xdr:to>
    <xdr:sp>
      <xdr:nvSpPr>
        <xdr:cNvPr id="287" name="Text Box 957"/>
        <xdr:cNvSpPr txBox="1">
          <a:spLocks noChangeArrowheads="1"/>
        </xdr:cNvSpPr>
      </xdr:nvSpPr>
      <xdr:spPr>
        <a:xfrm>
          <a:off x="542925" y="237172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0</xdr:col>
      <xdr:colOff>561975</xdr:colOff>
      <xdr:row>12</xdr:row>
      <xdr:rowOff>28575</xdr:rowOff>
    </xdr:from>
    <xdr:to>
      <xdr:col>1</xdr:col>
      <xdr:colOff>28575</xdr:colOff>
      <xdr:row>12</xdr:row>
      <xdr:rowOff>228600</xdr:rowOff>
    </xdr:to>
    <xdr:sp>
      <xdr:nvSpPr>
        <xdr:cNvPr id="288" name="Text Box 958"/>
        <xdr:cNvSpPr txBox="1">
          <a:spLocks noChangeArrowheads="1"/>
        </xdr:cNvSpPr>
      </xdr:nvSpPr>
      <xdr:spPr>
        <a:xfrm>
          <a:off x="561975" y="28098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0</xdr:col>
      <xdr:colOff>523875</xdr:colOff>
      <xdr:row>8</xdr:row>
      <xdr:rowOff>47625</xdr:rowOff>
    </xdr:from>
    <xdr:to>
      <xdr:col>1</xdr:col>
      <xdr:colOff>38100</xdr:colOff>
      <xdr:row>9</xdr:row>
      <xdr:rowOff>0</xdr:rowOff>
    </xdr:to>
    <xdr:sp>
      <xdr:nvSpPr>
        <xdr:cNvPr id="289" name="Text Box 959"/>
        <xdr:cNvSpPr txBox="1">
          <a:spLocks noChangeArrowheads="1"/>
        </xdr:cNvSpPr>
      </xdr:nvSpPr>
      <xdr:spPr>
        <a:xfrm>
          <a:off x="523875" y="1838325"/>
          <a:ext cx="2571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0</xdr:col>
      <xdr:colOff>542925</xdr:colOff>
      <xdr:row>11</xdr:row>
      <xdr:rowOff>66675</xdr:rowOff>
    </xdr:from>
    <xdr:to>
      <xdr:col>1</xdr:col>
      <xdr:colOff>9525</xdr:colOff>
      <xdr:row>12</xdr:row>
      <xdr:rowOff>19050</xdr:rowOff>
    </xdr:to>
    <xdr:sp>
      <xdr:nvSpPr>
        <xdr:cNvPr id="290" name="Text Box 960"/>
        <xdr:cNvSpPr txBox="1">
          <a:spLocks noChangeArrowheads="1"/>
        </xdr:cNvSpPr>
      </xdr:nvSpPr>
      <xdr:spPr>
        <a:xfrm>
          <a:off x="542925" y="260032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0</xdr:col>
      <xdr:colOff>504825</xdr:colOff>
      <xdr:row>9</xdr:row>
      <xdr:rowOff>28575</xdr:rowOff>
    </xdr:from>
    <xdr:to>
      <xdr:col>0</xdr:col>
      <xdr:colOff>733425</xdr:colOff>
      <xdr:row>9</xdr:row>
      <xdr:rowOff>228600</xdr:rowOff>
    </xdr:to>
    <xdr:sp>
      <xdr:nvSpPr>
        <xdr:cNvPr id="291" name="Text Box 961"/>
        <xdr:cNvSpPr txBox="1">
          <a:spLocks noChangeArrowheads="1"/>
        </xdr:cNvSpPr>
      </xdr:nvSpPr>
      <xdr:spPr>
        <a:xfrm>
          <a:off x="504825" y="2066925"/>
          <a:ext cx="22860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3</xdr:col>
      <xdr:colOff>742950</xdr:colOff>
      <xdr:row>9</xdr:row>
      <xdr:rowOff>28575</xdr:rowOff>
    </xdr:from>
    <xdr:to>
      <xdr:col>4</xdr:col>
      <xdr:colOff>276225</xdr:colOff>
      <xdr:row>9</xdr:row>
      <xdr:rowOff>219075</xdr:rowOff>
    </xdr:to>
    <xdr:sp>
      <xdr:nvSpPr>
        <xdr:cNvPr id="292" name="Text Box 972"/>
        <xdr:cNvSpPr txBox="1">
          <a:spLocks noChangeArrowheads="1"/>
        </xdr:cNvSpPr>
      </xdr:nvSpPr>
      <xdr:spPr>
        <a:xfrm>
          <a:off x="3514725" y="206692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5</xdr:col>
      <xdr:colOff>847725</xdr:colOff>
      <xdr:row>42</xdr:row>
      <xdr:rowOff>133350</xdr:rowOff>
    </xdr:from>
    <xdr:to>
      <xdr:col>5</xdr:col>
      <xdr:colOff>857250</xdr:colOff>
      <xdr:row>45</xdr:row>
      <xdr:rowOff>19050</xdr:rowOff>
    </xdr:to>
    <xdr:sp>
      <xdr:nvSpPr>
        <xdr:cNvPr id="293" name="Freeform 974"/>
        <xdr:cNvSpPr>
          <a:spLocks/>
        </xdr:cNvSpPr>
      </xdr:nvSpPr>
      <xdr:spPr>
        <a:xfrm>
          <a:off x="5619750" y="8877300"/>
          <a:ext cx="9525" cy="476250"/>
        </a:xfrm>
        <a:custGeom>
          <a:pathLst>
            <a:path h="47" w="1">
              <a:moveTo>
                <a:pt x="0" y="0"/>
              </a:moveTo>
              <a:lnTo>
                <a:pt x="0" y="47"/>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42</xdr:row>
      <xdr:rowOff>123825</xdr:rowOff>
    </xdr:from>
    <xdr:to>
      <xdr:col>7</xdr:col>
      <xdr:colOff>57150</xdr:colOff>
      <xdr:row>45</xdr:row>
      <xdr:rowOff>38100</xdr:rowOff>
    </xdr:to>
    <xdr:sp>
      <xdr:nvSpPr>
        <xdr:cNvPr id="294" name="Freeform 975"/>
        <xdr:cNvSpPr>
          <a:spLocks/>
        </xdr:cNvSpPr>
      </xdr:nvSpPr>
      <xdr:spPr>
        <a:xfrm>
          <a:off x="6743700" y="8867775"/>
          <a:ext cx="9525" cy="504825"/>
        </a:xfrm>
        <a:custGeom>
          <a:pathLst>
            <a:path h="50" w="1">
              <a:moveTo>
                <a:pt x="0" y="0"/>
              </a:moveTo>
              <a:lnTo>
                <a:pt x="0" y="50"/>
              </a:ln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857250</xdr:colOff>
      <xdr:row>44</xdr:row>
      <xdr:rowOff>123825</xdr:rowOff>
    </xdr:from>
    <xdr:to>
      <xdr:col>7</xdr:col>
      <xdr:colOff>47625</xdr:colOff>
      <xdr:row>44</xdr:row>
      <xdr:rowOff>133350</xdr:rowOff>
    </xdr:to>
    <xdr:sp>
      <xdr:nvSpPr>
        <xdr:cNvPr id="295" name="Freeform 976"/>
        <xdr:cNvSpPr>
          <a:spLocks/>
        </xdr:cNvSpPr>
      </xdr:nvSpPr>
      <xdr:spPr>
        <a:xfrm>
          <a:off x="5629275" y="9267825"/>
          <a:ext cx="1114425" cy="9525"/>
        </a:xfrm>
        <a:custGeom>
          <a:pathLst>
            <a:path h="1" w="117">
              <a:moveTo>
                <a:pt x="0" y="0"/>
              </a:moveTo>
              <a:lnTo>
                <a:pt x="117" y="0"/>
              </a:lnTo>
            </a:path>
          </a:pathLst>
        </a:cu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657225</xdr:colOff>
      <xdr:row>68</xdr:row>
      <xdr:rowOff>0</xdr:rowOff>
    </xdr:from>
    <xdr:to>
      <xdr:col>10</xdr:col>
      <xdr:colOff>0</xdr:colOff>
      <xdr:row>68</xdr:row>
      <xdr:rowOff>0</xdr:rowOff>
    </xdr:to>
    <xdr:sp>
      <xdr:nvSpPr>
        <xdr:cNvPr id="296" name="Text Box 979"/>
        <xdr:cNvSpPr txBox="1">
          <a:spLocks noChangeArrowheads="1"/>
        </xdr:cNvSpPr>
      </xdr:nvSpPr>
      <xdr:spPr>
        <a:xfrm>
          <a:off x="9277350" y="11991975"/>
          <a:ext cx="28575"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Of</a:t>
          </a:r>
        </a:p>
      </xdr:txBody>
    </xdr:sp>
    <xdr:clientData/>
  </xdr:twoCellAnchor>
  <xdr:twoCellAnchor>
    <xdr:from>
      <xdr:col>7</xdr:col>
      <xdr:colOff>438150</xdr:colOff>
      <xdr:row>54</xdr:row>
      <xdr:rowOff>171450</xdr:rowOff>
    </xdr:from>
    <xdr:to>
      <xdr:col>7</xdr:col>
      <xdr:colOff>933450</xdr:colOff>
      <xdr:row>54</xdr:row>
      <xdr:rowOff>171450</xdr:rowOff>
    </xdr:to>
    <xdr:sp>
      <xdr:nvSpPr>
        <xdr:cNvPr id="297" name="Line 983"/>
        <xdr:cNvSpPr>
          <a:spLocks/>
        </xdr:cNvSpPr>
      </xdr:nvSpPr>
      <xdr:spPr>
        <a:xfrm flipV="1">
          <a:off x="7134225" y="112204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53</xdr:row>
      <xdr:rowOff>133350</xdr:rowOff>
    </xdr:from>
    <xdr:to>
      <xdr:col>1</xdr:col>
      <xdr:colOff>838200</xdr:colOff>
      <xdr:row>53</xdr:row>
      <xdr:rowOff>133350</xdr:rowOff>
    </xdr:to>
    <xdr:pic>
      <xdr:nvPicPr>
        <xdr:cNvPr id="298" name="Picture 985" descr="NRCSb_w"/>
        <xdr:cNvPicPr preferRelativeResize="1">
          <a:picLocks noChangeAspect="1"/>
        </xdr:cNvPicPr>
      </xdr:nvPicPr>
      <xdr:blipFill>
        <a:blip r:embed="rId1"/>
        <a:stretch>
          <a:fillRect/>
        </a:stretch>
      </xdr:blipFill>
      <xdr:spPr>
        <a:xfrm>
          <a:off x="19050" y="10991850"/>
          <a:ext cx="1562100" cy="0"/>
        </a:xfrm>
        <a:prstGeom prst="rect">
          <a:avLst/>
        </a:prstGeom>
        <a:noFill/>
        <a:ln w="9525" cmpd="sng">
          <a:noFill/>
        </a:ln>
      </xdr:spPr>
    </xdr:pic>
    <xdr:clientData/>
  </xdr:twoCellAnchor>
  <xdr:twoCellAnchor>
    <xdr:from>
      <xdr:col>9</xdr:col>
      <xdr:colOff>657225</xdr:colOff>
      <xdr:row>57</xdr:row>
      <xdr:rowOff>85725</xdr:rowOff>
    </xdr:from>
    <xdr:to>
      <xdr:col>10</xdr:col>
      <xdr:colOff>0</xdr:colOff>
      <xdr:row>57</xdr:row>
      <xdr:rowOff>171450</xdr:rowOff>
    </xdr:to>
    <xdr:sp>
      <xdr:nvSpPr>
        <xdr:cNvPr id="299" name="Text Box 986"/>
        <xdr:cNvSpPr txBox="1">
          <a:spLocks noChangeArrowheads="1"/>
        </xdr:cNvSpPr>
      </xdr:nvSpPr>
      <xdr:spPr>
        <a:xfrm>
          <a:off x="9277350" y="11706225"/>
          <a:ext cx="28575" cy="857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Of</a:t>
          </a:r>
        </a:p>
      </xdr:txBody>
    </xdr:sp>
    <xdr:clientData/>
  </xdr:twoCellAnchor>
  <xdr:twoCellAnchor>
    <xdr:from>
      <xdr:col>9</xdr:col>
      <xdr:colOff>9525</xdr:colOff>
      <xdr:row>56</xdr:row>
      <xdr:rowOff>104775</xdr:rowOff>
    </xdr:from>
    <xdr:to>
      <xdr:col>10</xdr:col>
      <xdr:colOff>0</xdr:colOff>
      <xdr:row>56</xdr:row>
      <xdr:rowOff>104775</xdr:rowOff>
    </xdr:to>
    <xdr:sp>
      <xdr:nvSpPr>
        <xdr:cNvPr id="300" name="Line 987"/>
        <xdr:cNvSpPr>
          <a:spLocks/>
        </xdr:cNvSpPr>
      </xdr:nvSpPr>
      <xdr:spPr>
        <a:xfrm>
          <a:off x="8629650" y="11534775"/>
          <a:ext cx="676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54</xdr:row>
      <xdr:rowOff>104775</xdr:rowOff>
    </xdr:from>
    <xdr:to>
      <xdr:col>9</xdr:col>
      <xdr:colOff>600075</xdr:colOff>
      <xdr:row>54</xdr:row>
      <xdr:rowOff>104775</xdr:rowOff>
    </xdr:to>
    <xdr:sp>
      <xdr:nvSpPr>
        <xdr:cNvPr id="301" name="Line 988"/>
        <xdr:cNvSpPr>
          <a:spLocks/>
        </xdr:cNvSpPr>
      </xdr:nvSpPr>
      <xdr:spPr>
        <a:xfrm>
          <a:off x="8620125" y="11153775"/>
          <a:ext cx="600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49</xdr:row>
      <xdr:rowOff>171450</xdr:rowOff>
    </xdr:from>
    <xdr:to>
      <xdr:col>12</xdr:col>
      <xdr:colOff>904875</xdr:colOff>
      <xdr:row>49</xdr:row>
      <xdr:rowOff>171450</xdr:rowOff>
    </xdr:to>
    <xdr:sp>
      <xdr:nvSpPr>
        <xdr:cNvPr id="302" name="Line 989"/>
        <xdr:cNvSpPr>
          <a:spLocks/>
        </xdr:cNvSpPr>
      </xdr:nvSpPr>
      <xdr:spPr>
        <a:xfrm>
          <a:off x="10401300" y="10287000"/>
          <a:ext cx="904875"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55</xdr:row>
      <xdr:rowOff>171450</xdr:rowOff>
    </xdr:from>
    <xdr:to>
      <xdr:col>12</xdr:col>
      <xdr:colOff>904875</xdr:colOff>
      <xdr:row>55</xdr:row>
      <xdr:rowOff>171450</xdr:rowOff>
    </xdr:to>
    <xdr:sp>
      <xdr:nvSpPr>
        <xdr:cNvPr id="303" name="Line 990"/>
        <xdr:cNvSpPr>
          <a:spLocks/>
        </xdr:cNvSpPr>
      </xdr:nvSpPr>
      <xdr:spPr>
        <a:xfrm>
          <a:off x="10401300" y="11410950"/>
          <a:ext cx="904875"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53</xdr:row>
      <xdr:rowOff>95250</xdr:rowOff>
    </xdr:from>
    <xdr:to>
      <xdr:col>1</xdr:col>
      <xdr:colOff>914400</xdr:colOff>
      <xdr:row>56</xdr:row>
      <xdr:rowOff>0</xdr:rowOff>
    </xdr:to>
    <xdr:pic>
      <xdr:nvPicPr>
        <xdr:cNvPr id="304" name="Picture 991" descr="NRCSb_w"/>
        <xdr:cNvPicPr preferRelativeResize="1">
          <a:picLocks noChangeAspect="1"/>
        </xdr:cNvPicPr>
      </xdr:nvPicPr>
      <xdr:blipFill>
        <a:blip r:embed="rId1"/>
        <a:stretch>
          <a:fillRect/>
        </a:stretch>
      </xdr:blipFill>
      <xdr:spPr>
        <a:xfrm>
          <a:off x="95250" y="10953750"/>
          <a:ext cx="1562100" cy="476250"/>
        </a:xfrm>
        <a:prstGeom prst="rect">
          <a:avLst/>
        </a:prstGeom>
        <a:noFill/>
        <a:ln w="9525" cmpd="sng">
          <a:noFill/>
        </a:ln>
      </xdr:spPr>
    </xdr:pic>
    <xdr:clientData/>
  </xdr:twoCellAnchor>
  <xdr:twoCellAnchor>
    <xdr:from>
      <xdr:col>0</xdr:col>
      <xdr:colOff>590550</xdr:colOff>
      <xdr:row>56</xdr:row>
      <xdr:rowOff>0</xdr:rowOff>
    </xdr:from>
    <xdr:to>
      <xdr:col>2</xdr:col>
      <xdr:colOff>228600</xdr:colOff>
      <xdr:row>57</xdr:row>
      <xdr:rowOff>57150</xdr:rowOff>
    </xdr:to>
    <xdr:sp>
      <xdr:nvSpPr>
        <xdr:cNvPr id="305" name="Text Box 992"/>
        <xdr:cNvSpPr txBox="1">
          <a:spLocks noChangeArrowheads="1"/>
        </xdr:cNvSpPr>
      </xdr:nvSpPr>
      <xdr:spPr>
        <a:xfrm>
          <a:off x="590550" y="11430000"/>
          <a:ext cx="1447800" cy="2476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Narrow"/>
              <a:ea typeface="Arial Narrow"/>
              <a:cs typeface="Arial Narrow"/>
            </a:rPr>
            <a:t>Natural Resources Conservation Service
</a:t>
          </a:r>
          <a:r>
            <a:rPr lang="en-US" cap="none" sz="600" b="0" i="0" u="none" baseline="0">
              <a:solidFill>
                <a:srgbClr val="000000"/>
              </a:solidFill>
              <a:latin typeface="Arial Narrow"/>
              <a:ea typeface="Arial Narrow"/>
              <a:cs typeface="Arial Narrow"/>
            </a:rPr>
            <a:t>United States Department of Agriculture</a:t>
          </a:r>
        </a:p>
      </xdr:txBody>
    </xdr:sp>
    <xdr:clientData/>
  </xdr:twoCellAnchor>
  <xdr:twoCellAnchor>
    <xdr:from>
      <xdr:col>7</xdr:col>
      <xdr:colOff>0</xdr:colOff>
      <xdr:row>54</xdr:row>
      <xdr:rowOff>47625</xdr:rowOff>
    </xdr:from>
    <xdr:to>
      <xdr:col>7</xdr:col>
      <xdr:colOff>409575</xdr:colOff>
      <xdr:row>54</xdr:row>
      <xdr:rowOff>161925</xdr:rowOff>
    </xdr:to>
    <xdr:sp>
      <xdr:nvSpPr>
        <xdr:cNvPr id="306" name="Text Box 993"/>
        <xdr:cNvSpPr txBox="1">
          <a:spLocks noChangeArrowheads="1"/>
        </xdr:cNvSpPr>
      </xdr:nvSpPr>
      <xdr:spPr>
        <a:xfrm>
          <a:off x="6696075" y="11096625"/>
          <a:ext cx="409575" cy="114300"/>
        </a:xfrm>
        <a:prstGeom prst="rect">
          <a:avLst/>
        </a:prstGeom>
        <a:noFill/>
        <a:ln w="12700"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Designed</a:t>
          </a:r>
        </a:p>
      </xdr:txBody>
    </xdr:sp>
    <xdr:clientData/>
  </xdr:twoCellAnchor>
  <xdr:twoCellAnchor>
    <xdr:from>
      <xdr:col>16</xdr:col>
      <xdr:colOff>104775</xdr:colOff>
      <xdr:row>65535</xdr:row>
      <xdr:rowOff>0</xdr:rowOff>
    </xdr:from>
    <xdr:to>
      <xdr:col>16</xdr:col>
      <xdr:colOff>600075</xdr:colOff>
      <xdr:row>65535</xdr:row>
      <xdr:rowOff>0</xdr:rowOff>
    </xdr:to>
    <xdr:sp>
      <xdr:nvSpPr>
        <xdr:cNvPr id="307" name="Line 994"/>
        <xdr:cNvSpPr>
          <a:spLocks/>
        </xdr:cNvSpPr>
      </xdr:nvSpPr>
      <xdr:spPr>
        <a:xfrm flipV="1">
          <a:off x="13830300" y="119919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65535</xdr:row>
      <xdr:rowOff>0</xdr:rowOff>
    </xdr:from>
    <xdr:to>
      <xdr:col>16</xdr:col>
      <xdr:colOff>600075</xdr:colOff>
      <xdr:row>65535</xdr:row>
      <xdr:rowOff>0</xdr:rowOff>
    </xdr:to>
    <xdr:sp>
      <xdr:nvSpPr>
        <xdr:cNvPr id="308" name="Line 995"/>
        <xdr:cNvSpPr>
          <a:spLocks/>
        </xdr:cNvSpPr>
      </xdr:nvSpPr>
      <xdr:spPr>
        <a:xfrm flipV="1">
          <a:off x="13830300" y="119919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55</xdr:row>
      <xdr:rowOff>152400</xdr:rowOff>
    </xdr:from>
    <xdr:to>
      <xdr:col>8</xdr:col>
      <xdr:colOff>19050</xdr:colOff>
      <xdr:row>55</xdr:row>
      <xdr:rowOff>152400</xdr:rowOff>
    </xdr:to>
    <xdr:sp>
      <xdr:nvSpPr>
        <xdr:cNvPr id="309" name="Line 997"/>
        <xdr:cNvSpPr>
          <a:spLocks/>
        </xdr:cNvSpPr>
      </xdr:nvSpPr>
      <xdr:spPr>
        <a:xfrm>
          <a:off x="7124700" y="11391900"/>
          <a:ext cx="5524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55</xdr:row>
      <xdr:rowOff>171450</xdr:rowOff>
    </xdr:from>
    <xdr:to>
      <xdr:col>7</xdr:col>
      <xdr:colOff>942975</xdr:colOff>
      <xdr:row>55</xdr:row>
      <xdr:rowOff>171450</xdr:rowOff>
    </xdr:to>
    <xdr:sp>
      <xdr:nvSpPr>
        <xdr:cNvPr id="310" name="Line 998"/>
        <xdr:cNvSpPr>
          <a:spLocks/>
        </xdr:cNvSpPr>
      </xdr:nvSpPr>
      <xdr:spPr>
        <a:xfrm flipV="1">
          <a:off x="7143750" y="114109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56</xdr:row>
      <xdr:rowOff>161925</xdr:rowOff>
    </xdr:from>
    <xdr:to>
      <xdr:col>7</xdr:col>
      <xdr:colOff>942975</xdr:colOff>
      <xdr:row>56</xdr:row>
      <xdr:rowOff>161925</xdr:rowOff>
    </xdr:to>
    <xdr:sp>
      <xdr:nvSpPr>
        <xdr:cNvPr id="311" name="Line 999"/>
        <xdr:cNvSpPr>
          <a:spLocks/>
        </xdr:cNvSpPr>
      </xdr:nvSpPr>
      <xdr:spPr>
        <a:xfrm flipV="1">
          <a:off x="7143750" y="11591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57</xdr:row>
      <xdr:rowOff>180975</xdr:rowOff>
    </xdr:from>
    <xdr:to>
      <xdr:col>7</xdr:col>
      <xdr:colOff>942975</xdr:colOff>
      <xdr:row>57</xdr:row>
      <xdr:rowOff>180975</xdr:rowOff>
    </xdr:to>
    <xdr:sp>
      <xdr:nvSpPr>
        <xdr:cNvPr id="312" name="Line 1000"/>
        <xdr:cNvSpPr>
          <a:spLocks/>
        </xdr:cNvSpPr>
      </xdr:nvSpPr>
      <xdr:spPr>
        <a:xfrm flipV="1">
          <a:off x="7143750" y="118014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54</xdr:row>
      <xdr:rowOff>171450</xdr:rowOff>
    </xdr:from>
    <xdr:to>
      <xdr:col>8</xdr:col>
      <xdr:colOff>666750</xdr:colOff>
      <xdr:row>54</xdr:row>
      <xdr:rowOff>171450</xdr:rowOff>
    </xdr:to>
    <xdr:sp>
      <xdr:nvSpPr>
        <xdr:cNvPr id="313" name="Line 1001"/>
        <xdr:cNvSpPr>
          <a:spLocks/>
        </xdr:cNvSpPr>
      </xdr:nvSpPr>
      <xdr:spPr>
        <a:xfrm flipV="1">
          <a:off x="7829550" y="112204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55</xdr:row>
      <xdr:rowOff>171450</xdr:rowOff>
    </xdr:from>
    <xdr:to>
      <xdr:col>8</xdr:col>
      <xdr:colOff>676275</xdr:colOff>
      <xdr:row>55</xdr:row>
      <xdr:rowOff>171450</xdr:rowOff>
    </xdr:to>
    <xdr:sp>
      <xdr:nvSpPr>
        <xdr:cNvPr id="314" name="Line 1002"/>
        <xdr:cNvSpPr>
          <a:spLocks/>
        </xdr:cNvSpPr>
      </xdr:nvSpPr>
      <xdr:spPr>
        <a:xfrm flipV="1">
          <a:off x="7839075" y="114109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56</xdr:row>
      <xdr:rowOff>161925</xdr:rowOff>
    </xdr:from>
    <xdr:to>
      <xdr:col>8</xdr:col>
      <xdr:colOff>676275</xdr:colOff>
      <xdr:row>56</xdr:row>
      <xdr:rowOff>161925</xdr:rowOff>
    </xdr:to>
    <xdr:sp>
      <xdr:nvSpPr>
        <xdr:cNvPr id="315" name="Line 1003"/>
        <xdr:cNvSpPr>
          <a:spLocks/>
        </xdr:cNvSpPr>
      </xdr:nvSpPr>
      <xdr:spPr>
        <a:xfrm flipV="1">
          <a:off x="7839075" y="11591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57</xdr:row>
      <xdr:rowOff>180975</xdr:rowOff>
    </xdr:from>
    <xdr:to>
      <xdr:col>8</xdr:col>
      <xdr:colOff>676275</xdr:colOff>
      <xdr:row>57</xdr:row>
      <xdr:rowOff>180975</xdr:rowOff>
    </xdr:to>
    <xdr:sp>
      <xdr:nvSpPr>
        <xdr:cNvPr id="316" name="Line 1004"/>
        <xdr:cNvSpPr>
          <a:spLocks/>
        </xdr:cNvSpPr>
      </xdr:nvSpPr>
      <xdr:spPr>
        <a:xfrm flipV="1">
          <a:off x="7839075" y="118014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28</xdr:row>
      <xdr:rowOff>161925</xdr:rowOff>
    </xdr:from>
    <xdr:to>
      <xdr:col>7</xdr:col>
      <xdr:colOff>57150</xdr:colOff>
      <xdr:row>28</xdr:row>
      <xdr:rowOff>161925</xdr:rowOff>
    </xdr:to>
    <xdr:sp>
      <xdr:nvSpPr>
        <xdr:cNvPr id="1" name="Line 299"/>
        <xdr:cNvSpPr>
          <a:spLocks/>
        </xdr:cNvSpPr>
      </xdr:nvSpPr>
      <xdr:spPr>
        <a:xfrm>
          <a:off x="5457825" y="6229350"/>
          <a:ext cx="1028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27</xdr:row>
      <xdr:rowOff>161925</xdr:rowOff>
    </xdr:from>
    <xdr:to>
      <xdr:col>7</xdr:col>
      <xdr:colOff>285750</xdr:colOff>
      <xdr:row>28</xdr:row>
      <xdr:rowOff>161925</xdr:rowOff>
    </xdr:to>
    <xdr:sp>
      <xdr:nvSpPr>
        <xdr:cNvPr id="2" name="Line 300"/>
        <xdr:cNvSpPr>
          <a:spLocks/>
        </xdr:cNvSpPr>
      </xdr:nvSpPr>
      <xdr:spPr>
        <a:xfrm flipV="1">
          <a:off x="6486525" y="6048375"/>
          <a:ext cx="22860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27</xdr:row>
      <xdr:rowOff>161925</xdr:rowOff>
    </xdr:from>
    <xdr:to>
      <xdr:col>7</xdr:col>
      <xdr:colOff>285750</xdr:colOff>
      <xdr:row>27</xdr:row>
      <xdr:rowOff>161925</xdr:rowOff>
    </xdr:to>
    <xdr:sp>
      <xdr:nvSpPr>
        <xdr:cNvPr id="3" name="Line 301"/>
        <xdr:cNvSpPr>
          <a:spLocks/>
        </xdr:cNvSpPr>
      </xdr:nvSpPr>
      <xdr:spPr>
        <a:xfrm>
          <a:off x="6715125" y="604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27</xdr:row>
      <xdr:rowOff>161925</xdr:rowOff>
    </xdr:from>
    <xdr:to>
      <xdr:col>9</xdr:col>
      <xdr:colOff>323850</xdr:colOff>
      <xdr:row>28</xdr:row>
      <xdr:rowOff>28575</xdr:rowOff>
    </xdr:to>
    <xdr:sp>
      <xdr:nvSpPr>
        <xdr:cNvPr id="4" name="Line 302"/>
        <xdr:cNvSpPr>
          <a:spLocks/>
        </xdr:cNvSpPr>
      </xdr:nvSpPr>
      <xdr:spPr>
        <a:xfrm>
          <a:off x="6715125" y="6048375"/>
          <a:ext cx="1962150" cy="47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21</xdr:row>
      <xdr:rowOff>142875</xdr:rowOff>
    </xdr:from>
    <xdr:to>
      <xdr:col>5</xdr:col>
      <xdr:colOff>952500</xdr:colOff>
      <xdr:row>28</xdr:row>
      <xdr:rowOff>161925</xdr:rowOff>
    </xdr:to>
    <xdr:sp>
      <xdr:nvSpPr>
        <xdr:cNvPr id="5" name="Line 303"/>
        <xdr:cNvSpPr>
          <a:spLocks/>
        </xdr:cNvSpPr>
      </xdr:nvSpPr>
      <xdr:spPr>
        <a:xfrm flipH="1" flipV="1">
          <a:off x="3657600" y="4810125"/>
          <a:ext cx="1800225" cy="1419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21</xdr:row>
      <xdr:rowOff>0</xdr:rowOff>
    </xdr:from>
    <xdr:to>
      <xdr:col>3</xdr:col>
      <xdr:colOff>628650</xdr:colOff>
      <xdr:row>21</xdr:row>
      <xdr:rowOff>0</xdr:rowOff>
    </xdr:to>
    <xdr:sp>
      <xdr:nvSpPr>
        <xdr:cNvPr id="6" name="Line 304"/>
        <xdr:cNvSpPr>
          <a:spLocks/>
        </xdr:cNvSpPr>
      </xdr:nvSpPr>
      <xdr:spPr>
        <a:xfrm flipH="1">
          <a:off x="2019300" y="4667250"/>
          <a:ext cx="1114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20</xdr:row>
      <xdr:rowOff>28575</xdr:rowOff>
    </xdr:from>
    <xdr:to>
      <xdr:col>2</xdr:col>
      <xdr:colOff>476250</xdr:colOff>
      <xdr:row>21</xdr:row>
      <xdr:rowOff>0</xdr:rowOff>
    </xdr:to>
    <xdr:sp>
      <xdr:nvSpPr>
        <xdr:cNvPr id="7" name="Line 305"/>
        <xdr:cNvSpPr>
          <a:spLocks/>
        </xdr:cNvSpPr>
      </xdr:nvSpPr>
      <xdr:spPr>
        <a:xfrm flipH="1" flipV="1">
          <a:off x="571500" y="4486275"/>
          <a:ext cx="144780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21</xdr:row>
      <xdr:rowOff>0</xdr:rowOff>
    </xdr:from>
    <xdr:to>
      <xdr:col>2</xdr:col>
      <xdr:colOff>485775</xdr:colOff>
      <xdr:row>22</xdr:row>
      <xdr:rowOff>9525</xdr:rowOff>
    </xdr:to>
    <xdr:sp>
      <xdr:nvSpPr>
        <xdr:cNvPr id="8" name="Line 306"/>
        <xdr:cNvSpPr>
          <a:spLocks/>
        </xdr:cNvSpPr>
      </xdr:nvSpPr>
      <xdr:spPr>
        <a:xfrm>
          <a:off x="2028825" y="4667250"/>
          <a:ext cx="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22</xdr:row>
      <xdr:rowOff>9525</xdr:rowOff>
    </xdr:from>
    <xdr:to>
      <xdr:col>3</xdr:col>
      <xdr:colOff>523875</xdr:colOff>
      <xdr:row>22</xdr:row>
      <xdr:rowOff>9525</xdr:rowOff>
    </xdr:to>
    <xdr:sp>
      <xdr:nvSpPr>
        <xdr:cNvPr id="9" name="Line 307"/>
        <xdr:cNvSpPr>
          <a:spLocks/>
        </xdr:cNvSpPr>
      </xdr:nvSpPr>
      <xdr:spPr>
        <a:xfrm>
          <a:off x="2028825" y="4886325"/>
          <a:ext cx="1000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22</xdr:row>
      <xdr:rowOff>142875</xdr:rowOff>
    </xdr:from>
    <xdr:to>
      <xdr:col>5</xdr:col>
      <xdr:colOff>819150</xdr:colOff>
      <xdr:row>30</xdr:row>
      <xdr:rowOff>0</xdr:rowOff>
    </xdr:to>
    <xdr:sp>
      <xdr:nvSpPr>
        <xdr:cNvPr id="10" name="Line 308"/>
        <xdr:cNvSpPr>
          <a:spLocks/>
        </xdr:cNvSpPr>
      </xdr:nvSpPr>
      <xdr:spPr>
        <a:xfrm>
          <a:off x="3505200" y="5019675"/>
          <a:ext cx="1819275" cy="1419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30</xdr:row>
      <xdr:rowOff>0</xdr:rowOff>
    </xdr:from>
    <xdr:to>
      <xdr:col>7</xdr:col>
      <xdr:colOff>76200</xdr:colOff>
      <xdr:row>30</xdr:row>
      <xdr:rowOff>0</xdr:rowOff>
    </xdr:to>
    <xdr:sp>
      <xdr:nvSpPr>
        <xdr:cNvPr id="11" name="Line 309"/>
        <xdr:cNvSpPr>
          <a:spLocks/>
        </xdr:cNvSpPr>
      </xdr:nvSpPr>
      <xdr:spPr>
        <a:xfrm>
          <a:off x="5324475" y="6438900"/>
          <a:ext cx="1181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27</xdr:row>
      <xdr:rowOff>161925</xdr:rowOff>
    </xdr:from>
    <xdr:to>
      <xdr:col>7</xdr:col>
      <xdr:colOff>295275</xdr:colOff>
      <xdr:row>29</xdr:row>
      <xdr:rowOff>47625</xdr:rowOff>
    </xdr:to>
    <xdr:sp>
      <xdr:nvSpPr>
        <xdr:cNvPr id="12" name="Line 310"/>
        <xdr:cNvSpPr>
          <a:spLocks/>
        </xdr:cNvSpPr>
      </xdr:nvSpPr>
      <xdr:spPr>
        <a:xfrm>
          <a:off x="6724650" y="6048375"/>
          <a:ext cx="0" cy="247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29</xdr:row>
      <xdr:rowOff>38100</xdr:rowOff>
    </xdr:from>
    <xdr:to>
      <xdr:col>7</xdr:col>
      <xdr:colOff>295275</xdr:colOff>
      <xdr:row>30</xdr:row>
      <xdr:rowOff>0</xdr:rowOff>
    </xdr:to>
    <xdr:sp>
      <xdr:nvSpPr>
        <xdr:cNvPr id="13" name="Line 311"/>
        <xdr:cNvSpPr>
          <a:spLocks/>
        </xdr:cNvSpPr>
      </xdr:nvSpPr>
      <xdr:spPr>
        <a:xfrm flipV="1">
          <a:off x="6505575" y="6286500"/>
          <a:ext cx="219075"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30</xdr:row>
      <xdr:rowOff>28575</xdr:rowOff>
    </xdr:from>
    <xdr:to>
      <xdr:col>7</xdr:col>
      <xdr:colOff>66675</xdr:colOff>
      <xdr:row>31</xdr:row>
      <xdr:rowOff>57150</xdr:rowOff>
    </xdr:to>
    <xdr:sp>
      <xdr:nvSpPr>
        <xdr:cNvPr id="14" name="Line 312"/>
        <xdr:cNvSpPr>
          <a:spLocks/>
        </xdr:cNvSpPr>
      </xdr:nvSpPr>
      <xdr:spPr>
        <a:xfrm>
          <a:off x="6496050" y="6467475"/>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952500</xdr:colOff>
      <xdr:row>30</xdr:row>
      <xdr:rowOff>28575</xdr:rowOff>
    </xdr:from>
    <xdr:to>
      <xdr:col>5</xdr:col>
      <xdr:colOff>952500</xdr:colOff>
      <xdr:row>31</xdr:row>
      <xdr:rowOff>57150</xdr:rowOff>
    </xdr:to>
    <xdr:sp>
      <xdr:nvSpPr>
        <xdr:cNvPr id="15" name="Line 313"/>
        <xdr:cNvSpPr>
          <a:spLocks/>
        </xdr:cNvSpPr>
      </xdr:nvSpPr>
      <xdr:spPr>
        <a:xfrm>
          <a:off x="5457825" y="6467475"/>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952500</xdr:colOff>
      <xdr:row>31</xdr:row>
      <xdr:rowOff>28575</xdr:rowOff>
    </xdr:from>
    <xdr:to>
      <xdr:col>7</xdr:col>
      <xdr:colOff>66675</xdr:colOff>
      <xdr:row>31</xdr:row>
      <xdr:rowOff>28575</xdr:rowOff>
    </xdr:to>
    <xdr:sp>
      <xdr:nvSpPr>
        <xdr:cNvPr id="16" name="Line 314"/>
        <xdr:cNvSpPr>
          <a:spLocks/>
        </xdr:cNvSpPr>
      </xdr:nvSpPr>
      <xdr:spPr>
        <a:xfrm>
          <a:off x="5457825" y="6657975"/>
          <a:ext cx="1038225"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22</xdr:row>
      <xdr:rowOff>28575</xdr:rowOff>
    </xdr:from>
    <xdr:to>
      <xdr:col>2</xdr:col>
      <xdr:colOff>485775</xdr:colOff>
      <xdr:row>23</xdr:row>
      <xdr:rowOff>57150</xdr:rowOff>
    </xdr:to>
    <xdr:sp>
      <xdr:nvSpPr>
        <xdr:cNvPr id="17" name="Line 315"/>
        <xdr:cNvSpPr>
          <a:spLocks/>
        </xdr:cNvSpPr>
      </xdr:nvSpPr>
      <xdr:spPr>
        <a:xfrm>
          <a:off x="2028825" y="4905375"/>
          <a:ext cx="0"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22</xdr:row>
      <xdr:rowOff>142875</xdr:rowOff>
    </xdr:from>
    <xdr:to>
      <xdr:col>3</xdr:col>
      <xdr:colOff>933450</xdr:colOff>
      <xdr:row>31</xdr:row>
      <xdr:rowOff>47625</xdr:rowOff>
    </xdr:to>
    <xdr:sp>
      <xdr:nvSpPr>
        <xdr:cNvPr id="18" name="Line 316"/>
        <xdr:cNvSpPr>
          <a:spLocks/>
        </xdr:cNvSpPr>
      </xdr:nvSpPr>
      <xdr:spPr>
        <a:xfrm>
          <a:off x="3438525" y="5019675"/>
          <a:ext cx="0" cy="1657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23</xdr:row>
      <xdr:rowOff>19050</xdr:rowOff>
    </xdr:from>
    <xdr:to>
      <xdr:col>3</xdr:col>
      <xdr:colOff>933450</xdr:colOff>
      <xdr:row>23</xdr:row>
      <xdr:rowOff>19050</xdr:rowOff>
    </xdr:to>
    <xdr:sp>
      <xdr:nvSpPr>
        <xdr:cNvPr id="19" name="Line 317"/>
        <xdr:cNvSpPr>
          <a:spLocks/>
        </xdr:cNvSpPr>
      </xdr:nvSpPr>
      <xdr:spPr>
        <a:xfrm>
          <a:off x="2028825" y="5105400"/>
          <a:ext cx="140970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27</xdr:row>
      <xdr:rowOff>123825</xdr:rowOff>
    </xdr:from>
    <xdr:to>
      <xdr:col>5</xdr:col>
      <xdr:colOff>133350</xdr:colOff>
      <xdr:row>28</xdr:row>
      <xdr:rowOff>152400</xdr:rowOff>
    </xdr:to>
    <xdr:sp>
      <xdr:nvSpPr>
        <xdr:cNvPr id="20" name="Line 318"/>
        <xdr:cNvSpPr>
          <a:spLocks/>
        </xdr:cNvSpPr>
      </xdr:nvSpPr>
      <xdr:spPr>
        <a:xfrm>
          <a:off x="4638675" y="6010275"/>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28</xdr:row>
      <xdr:rowOff>152400</xdr:rowOff>
    </xdr:from>
    <xdr:to>
      <xdr:col>5</xdr:col>
      <xdr:colOff>390525</xdr:colOff>
      <xdr:row>28</xdr:row>
      <xdr:rowOff>152400</xdr:rowOff>
    </xdr:to>
    <xdr:sp>
      <xdr:nvSpPr>
        <xdr:cNvPr id="21" name="Line 319"/>
        <xdr:cNvSpPr>
          <a:spLocks/>
        </xdr:cNvSpPr>
      </xdr:nvSpPr>
      <xdr:spPr>
        <a:xfrm flipV="1">
          <a:off x="4638675" y="6219825"/>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28</xdr:row>
      <xdr:rowOff>161925</xdr:rowOff>
    </xdr:from>
    <xdr:to>
      <xdr:col>7</xdr:col>
      <xdr:colOff>514350</xdr:colOff>
      <xdr:row>28</xdr:row>
      <xdr:rowOff>161925</xdr:rowOff>
    </xdr:to>
    <xdr:sp>
      <xdr:nvSpPr>
        <xdr:cNvPr id="22" name="Line 320"/>
        <xdr:cNvSpPr>
          <a:spLocks/>
        </xdr:cNvSpPr>
      </xdr:nvSpPr>
      <xdr:spPr>
        <a:xfrm>
          <a:off x="6762750" y="6229350"/>
          <a:ext cx="180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28</xdr:row>
      <xdr:rowOff>161925</xdr:rowOff>
    </xdr:from>
    <xdr:to>
      <xdr:col>7</xdr:col>
      <xdr:colOff>457200</xdr:colOff>
      <xdr:row>30</xdr:row>
      <xdr:rowOff>19050</xdr:rowOff>
    </xdr:to>
    <xdr:sp>
      <xdr:nvSpPr>
        <xdr:cNvPr id="23" name="Line 321"/>
        <xdr:cNvSpPr>
          <a:spLocks/>
        </xdr:cNvSpPr>
      </xdr:nvSpPr>
      <xdr:spPr>
        <a:xfrm>
          <a:off x="6886575" y="6229350"/>
          <a:ext cx="0" cy="22860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26</xdr:row>
      <xdr:rowOff>171450</xdr:rowOff>
    </xdr:from>
    <xdr:to>
      <xdr:col>7</xdr:col>
      <xdr:colOff>457200</xdr:colOff>
      <xdr:row>27</xdr:row>
      <xdr:rowOff>171450</xdr:rowOff>
    </xdr:to>
    <xdr:sp>
      <xdr:nvSpPr>
        <xdr:cNvPr id="24" name="Line 322"/>
        <xdr:cNvSpPr>
          <a:spLocks/>
        </xdr:cNvSpPr>
      </xdr:nvSpPr>
      <xdr:spPr>
        <a:xfrm flipV="1">
          <a:off x="6886575" y="5857875"/>
          <a:ext cx="0" cy="2000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23</xdr:row>
      <xdr:rowOff>190500</xdr:rowOff>
    </xdr:from>
    <xdr:to>
      <xdr:col>4</xdr:col>
      <xdr:colOff>847725</xdr:colOff>
      <xdr:row>24</xdr:row>
      <xdr:rowOff>180975</xdr:rowOff>
    </xdr:to>
    <xdr:sp>
      <xdr:nvSpPr>
        <xdr:cNvPr id="25" name="Oval 323"/>
        <xdr:cNvSpPr>
          <a:spLocks/>
        </xdr:cNvSpPr>
      </xdr:nvSpPr>
      <xdr:spPr>
        <a:xfrm>
          <a:off x="4162425" y="5276850"/>
          <a:ext cx="1524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981075</xdr:colOff>
      <xdr:row>25</xdr:row>
      <xdr:rowOff>133350</xdr:rowOff>
    </xdr:from>
    <xdr:to>
      <xdr:col>5</xdr:col>
      <xdr:colOff>123825</xdr:colOff>
      <xdr:row>26</xdr:row>
      <xdr:rowOff>114300</xdr:rowOff>
    </xdr:to>
    <xdr:sp>
      <xdr:nvSpPr>
        <xdr:cNvPr id="26" name="Oval 324"/>
        <xdr:cNvSpPr>
          <a:spLocks/>
        </xdr:cNvSpPr>
      </xdr:nvSpPr>
      <xdr:spPr>
        <a:xfrm>
          <a:off x="4448175" y="5629275"/>
          <a:ext cx="1809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24</xdr:row>
      <xdr:rowOff>161925</xdr:rowOff>
    </xdr:from>
    <xdr:to>
      <xdr:col>4</xdr:col>
      <xdr:colOff>857250</xdr:colOff>
      <xdr:row>25</xdr:row>
      <xdr:rowOff>114300</xdr:rowOff>
    </xdr:to>
    <xdr:sp>
      <xdr:nvSpPr>
        <xdr:cNvPr id="27" name="Oval 325"/>
        <xdr:cNvSpPr>
          <a:spLocks/>
        </xdr:cNvSpPr>
      </xdr:nvSpPr>
      <xdr:spPr>
        <a:xfrm>
          <a:off x="4229100" y="5457825"/>
          <a:ext cx="952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23</xdr:row>
      <xdr:rowOff>114300</xdr:rowOff>
    </xdr:from>
    <xdr:to>
      <xdr:col>4</xdr:col>
      <xdr:colOff>723900</xdr:colOff>
      <xdr:row>24</xdr:row>
      <xdr:rowOff>76200</xdr:rowOff>
    </xdr:to>
    <xdr:sp>
      <xdr:nvSpPr>
        <xdr:cNvPr id="28" name="Oval 326"/>
        <xdr:cNvSpPr>
          <a:spLocks/>
        </xdr:cNvSpPr>
      </xdr:nvSpPr>
      <xdr:spPr>
        <a:xfrm>
          <a:off x="4057650" y="5200650"/>
          <a:ext cx="13335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24</xdr:row>
      <xdr:rowOff>76200</xdr:rowOff>
    </xdr:from>
    <xdr:to>
      <xdr:col>4</xdr:col>
      <xdr:colOff>952500</xdr:colOff>
      <xdr:row>25</xdr:row>
      <xdr:rowOff>19050</xdr:rowOff>
    </xdr:to>
    <xdr:sp>
      <xdr:nvSpPr>
        <xdr:cNvPr id="29" name="Oval 327"/>
        <xdr:cNvSpPr>
          <a:spLocks/>
        </xdr:cNvSpPr>
      </xdr:nvSpPr>
      <xdr:spPr>
        <a:xfrm>
          <a:off x="4295775" y="5372100"/>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25</xdr:row>
      <xdr:rowOff>47625</xdr:rowOff>
    </xdr:from>
    <xdr:to>
      <xdr:col>5</xdr:col>
      <xdr:colOff>104775</xdr:colOff>
      <xdr:row>25</xdr:row>
      <xdr:rowOff>161925</xdr:rowOff>
    </xdr:to>
    <xdr:sp>
      <xdr:nvSpPr>
        <xdr:cNvPr id="30" name="Oval 328"/>
        <xdr:cNvSpPr>
          <a:spLocks/>
        </xdr:cNvSpPr>
      </xdr:nvSpPr>
      <xdr:spPr>
        <a:xfrm>
          <a:off x="4533900" y="5543550"/>
          <a:ext cx="762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24</xdr:row>
      <xdr:rowOff>0</xdr:rowOff>
    </xdr:from>
    <xdr:to>
      <xdr:col>4</xdr:col>
      <xdr:colOff>619125</xdr:colOff>
      <xdr:row>24</xdr:row>
      <xdr:rowOff>133350</xdr:rowOff>
    </xdr:to>
    <xdr:sp>
      <xdr:nvSpPr>
        <xdr:cNvPr id="31" name="Oval 329"/>
        <xdr:cNvSpPr>
          <a:spLocks/>
        </xdr:cNvSpPr>
      </xdr:nvSpPr>
      <xdr:spPr>
        <a:xfrm>
          <a:off x="3971925" y="5295900"/>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24</xdr:row>
      <xdr:rowOff>57150</xdr:rowOff>
    </xdr:from>
    <xdr:to>
      <xdr:col>4</xdr:col>
      <xdr:colOff>685800</xdr:colOff>
      <xdr:row>25</xdr:row>
      <xdr:rowOff>9525</xdr:rowOff>
    </xdr:to>
    <xdr:sp>
      <xdr:nvSpPr>
        <xdr:cNvPr id="32" name="Oval 330"/>
        <xdr:cNvSpPr>
          <a:spLocks/>
        </xdr:cNvSpPr>
      </xdr:nvSpPr>
      <xdr:spPr>
        <a:xfrm>
          <a:off x="4076700" y="5353050"/>
          <a:ext cx="762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24</xdr:row>
      <xdr:rowOff>161925</xdr:rowOff>
    </xdr:from>
    <xdr:to>
      <xdr:col>5</xdr:col>
      <xdr:colOff>66675</xdr:colOff>
      <xdr:row>25</xdr:row>
      <xdr:rowOff>133350</xdr:rowOff>
    </xdr:to>
    <xdr:sp>
      <xdr:nvSpPr>
        <xdr:cNvPr id="33" name="Oval 331"/>
        <xdr:cNvSpPr>
          <a:spLocks/>
        </xdr:cNvSpPr>
      </xdr:nvSpPr>
      <xdr:spPr>
        <a:xfrm>
          <a:off x="4333875" y="5457825"/>
          <a:ext cx="2381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xdr:row>
      <xdr:rowOff>133350</xdr:rowOff>
    </xdr:from>
    <xdr:to>
      <xdr:col>4</xdr:col>
      <xdr:colOff>771525</xdr:colOff>
      <xdr:row>25</xdr:row>
      <xdr:rowOff>57150</xdr:rowOff>
    </xdr:to>
    <xdr:sp>
      <xdr:nvSpPr>
        <xdr:cNvPr id="34" name="Oval 332"/>
        <xdr:cNvSpPr>
          <a:spLocks/>
        </xdr:cNvSpPr>
      </xdr:nvSpPr>
      <xdr:spPr>
        <a:xfrm>
          <a:off x="4152900" y="5429250"/>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25</xdr:row>
      <xdr:rowOff>133350</xdr:rowOff>
    </xdr:from>
    <xdr:to>
      <xdr:col>5</xdr:col>
      <xdr:colOff>257175</xdr:colOff>
      <xdr:row>26</xdr:row>
      <xdr:rowOff>66675</xdr:rowOff>
    </xdr:to>
    <xdr:sp>
      <xdr:nvSpPr>
        <xdr:cNvPr id="35" name="Oval 333"/>
        <xdr:cNvSpPr>
          <a:spLocks/>
        </xdr:cNvSpPr>
      </xdr:nvSpPr>
      <xdr:spPr>
        <a:xfrm>
          <a:off x="4629150" y="5629275"/>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904875</xdr:colOff>
      <xdr:row>25</xdr:row>
      <xdr:rowOff>123825</xdr:rowOff>
    </xdr:from>
    <xdr:to>
      <xdr:col>5</xdr:col>
      <xdr:colOff>38100</xdr:colOff>
      <xdr:row>26</xdr:row>
      <xdr:rowOff>47625</xdr:rowOff>
    </xdr:to>
    <xdr:sp>
      <xdr:nvSpPr>
        <xdr:cNvPr id="36" name="Oval 334"/>
        <xdr:cNvSpPr>
          <a:spLocks/>
        </xdr:cNvSpPr>
      </xdr:nvSpPr>
      <xdr:spPr>
        <a:xfrm>
          <a:off x="4371975" y="5619750"/>
          <a:ext cx="1714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26</xdr:row>
      <xdr:rowOff>28575</xdr:rowOff>
    </xdr:from>
    <xdr:to>
      <xdr:col>5</xdr:col>
      <xdr:colOff>257175</xdr:colOff>
      <xdr:row>27</xdr:row>
      <xdr:rowOff>47625</xdr:rowOff>
    </xdr:to>
    <xdr:sp>
      <xdr:nvSpPr>
        <xdr:cNvPr id="37" name="Oval 335"/>
        <xdr:cNvSpPr>
          <a:spLocks/>
        </xdr:cNvSpPr>
      </xdr:nvSpPr>
      <xdr:spPr>
        <a:xfrm>
          <a:off x="4619625" y="5715000"/>
          <a:ext cx="1428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9525</xdr:rowOff>
    </xdr:from>
    <xdr:to>
      <xdr:col>3</xdr:col>
      <xdr:colOff>114300</xdr:colOff>
      <xdr:row>21</xdr:row>
      <xdr:rowOff>95250</xdr:rowOff>
    </xdr:to>
    <xdr:sp>
      <xdr:nvSpPr>
        <xdr:cNvPr id="38" name="Oval 336"/>
        <xdr:cNvSpPr>
          <a:spLocks/>
        </xdr:cNvSpPr>
      </xdr:nvSpPr>
      <xdr:spPr>
        <a:xfrm>
          <a:off x="2505075" y="467677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21</xdr:row>
      <xdr:rowOff>76200</xdr:rowOff>
    </xdr:from>
    <xdr:to>
      <xdr:col>2</xdr:col>
      <xdr:colOff>581025</xdr:colOff>
      <xdr:row>22</xdr:row>
      <xdr:rowOff>9525</xdr:rowOff>
    </xdr:to>
    <xdr:sp>
      <xdr:nvSpPr>
        <xdr:cNvPr id="39" name="Oval 337"/>
        <xdr:cNvSpPr>
          <a:spLocks/>
        </xdr:cNvSpPr>
      </xdr:nvSpPr>
      <xdr:spPr>
        <a:xfrm>
          <a:off x="2028825" y="4743450"/>
          <a:ext cx="952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21</xdr:row>
      <xdr:rowOff>28575</xdr:rowOff>
    </xdr:from>
    <xdr:to>
      <xdr:col>3</xdr:col>
      <xdr:colOff>904875</xdr:colOff>
      <xdr:row>21</xdr:row>
      <xdr:rowOff>133350</xdr:rowOff>
    </xdr:to>
    <xdr:sp>
      <xdr:nvSpPr>
        <xdr:cNvPr id="40" name="Oval 338"/>
        <xdr:cNvSpPr>
          <a:spLocks/>
        </xdr:cNvSpPr>
      </xdr:nvSpPr>
      <xdr:spPr>
        <a:xfrm>
          <a:off x="3305175" y="46958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123825</xdr:rowOff>
    </xdr:from>
    <xdr:to>
      <xdr:col>4</xdr:col>
      <xdr:colOff>190500</xdr:colOff>
      <xdr:row>22</xdr:row>
      <xdr:rowOff>66675</xdr:rowOff>
    </xdr:to>
    <xdr:sp>
      <xdr:nvSpPr>
        <xdr:cNvPr id="41" name="Oval 339"/>
        <xdr:cNvSpPr>
          <a:spLocks/>
        </xdr:cNvSpPr>
      </xdr:nvSpPr>
      <xdr:spPr>
        <a:xfrm>
          <a:off x="3562350" y="4791075"/>
          <a:ext cx="9525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21</xdr:row>
      <xdr:rowOff>123825</xdr:rowOff>
    </xdr:from>
    <xdr:to>
      <xdr:col>3</xdr:col>
      <xdr:colOff>904875</xdr:colOff>
      <xdr:row>22</xdr:row>
      <xdr:rowOff>57150</xdr:rowOff>
    </xdr:to>
    <xdr:sp>
      <xdr:nvSpPr>
        <xdr:cNvPr id="42" name="Oval 340"/>
        <xdr:cNvSpPr>
          <a:spLocks/>
        </xdr:cNvSpPr>
      </xdr:nvSpPr>
      <xdr:spPr>
        <a:xfrm>
          <a:off x="3314700" y="4791075"/>
          <a:ext cx="952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21</xdr:row>
      <xdr:rowOff>57150</xdr:rowOff>
    </xdr:from>
    <xdr:to>
      <xdr:col>4</xdr:col>
      <xdr:colOff>38100</xdr:colOff>
      <xdr:row>22</xdr:row>
      <xdr:rowOff>9525</xdr:rowOff>
    </xdr:to>
    <xdr:sp>
      <xdr:nvSpPr>
        <xdr:cNvPr id="43" name="Oval 341"/>
        <xdr:cNvSpPr>
          <a:spLocks/>
        </xdr:cNvSpPr>
      </xdr:nvSpPr>
      <xdr:spPr>
        <a:xfrm>
          <a:off x="3400425" y="4724400"/>
          <a:ext cx="1047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21</xdr:row>
      <xdr:rowOff>104775</xdr:rowOff>
    </xdr:from>
    <xdr:to>
      <xdr:col>4</xdr:col>
      <xdr:colOff>104775</xdr:colOff>
      <xdr:row>22</xdr:row>
      <xdr:rowOff>57150</xdr:rowOff>
    </xdr:to>
    <xdr:sp>
      <xdr:nvSpPr>
        <xdr:cNvPr id="44" name="Oval 342"/>
        <xdr:cNvSpPr>
          <a:spLocks/>
        </xdr:cNvSpPr>
      </xdr:nvSpPr>
      <xdr:spPr>
        <a:xfrm>
          <a:off x="3495675" y="4772025"/>
          <a:ext cx="762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22</xdr:row>
      <xdr:rowOff>38100</xdr:rowOff>
    </xdr:from>
    <xdr:to>
      <xdr:col>4</xdr:col>
      <xdr:colOff>152400</xdr:colOff>
      <xdr:row>22</xdr:row>
      <xdr:rowOff>161925</xdr:rowOff>
    </xdr:to>
    <xdr:sp>
      <xdr:nvSpPr>
        <xdr:cNvPr id="45" name="Oval 343"/>
        <xdr:cNvSpPr>
          <a:spLocks/>
        </xdr:cNvSpPr>
      </xdr:nvSpPr>
      <xdr:spPr>
        <a:xfrm>
          <a:off x="3505200" y="4914900"/>
          <a:ext cx="1143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21</xdr:row>
      <xdr:rowOff>142875</xdr:rowOff>
    </xdr:from>
    <xdr:to>
      <xdr:col>4</xdr:col>
      <xdr:colOff>228600</xdr:colOff>
      <xdr:row>22</xdr:row>
      <xdr:rowOff>114300</xdr:rowOff>
    </xdr:to>
    <xdr:sp>
      <xdr:nvSpPr>
        <xdr:cNvPr id="46" name="Oval 344"/>
        <xdr:cNvSpPr>
          <a:spLocks/>
        </xdr:cNvSpPr>
      </xdr:nvSpPr>
      <xdr:spPr>
        <a:xfrm>
          <a:off x="3648075" y="4810125"/>
          <a:ext cx="4762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22</xdr:row>
      <xdr:rowOff>95250</xdr:rowOff>
    </xdr:from>
    <xdr:to>
      <xdr:col>4</xdr:col>
      <xdr:colOff>257175</xdr:colOff>
      <xdr:row>23</xdr:row>
      <xdr:rowOff>28575</xdr:rowOff>
    </xdr:to>
    <xdr:sp>
      <xdr:nvSpPr>
        <xdr:cNvPr id="47" name="Oval 345"/>
        <xdr:cNvSpPr>
          <a:spLocks/>
        </xdr:cNvSpPr>
      </xdr:nvSpPr>
      <xdr:spPr>
        <a:xfrm>
          <a:off x="3600450" y="4972050"/>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22</xdr:row>
      <xdr:rowOff>9525</xdr:rowOff>
    </xdr:from>
    <xdr:to>
      <xdr:col>4</xdr:col>
      <xdr:colOff>323850</xdr:colOff>
      <xdr:row>22</xdr:row>
      <xdr:rowOff>95250</xdr:rowOff>
    </xdr:to>
    <xdr:sp>
      <xdr:nvSpPr>
        <xdr:cNvPr id="48" name="Oval 346"/>
        <xdr:cNvSpPr>
          <a:spLocks/>
        </xdr:cNvSpPr>
      </xdr:nvSpPr>
      <xdr:spPr>
        <a:xfrm>
          <a:off x="3676650" y="4886325"/>
          <a:ext cx="1143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180975</xdr:rowOff>
    </xdr:from>
    <xdr:to>
      <xdr:col>4</xdr:col>
      <xdr:colOff>352425</xdr:colOff>
      <xdr:row>23</xdr:row>
      <xdr:rowOff>114300</xdr:rowOff>
    </xdr:to>
    <xdr:sp>
      <xdr:nvSpPr>
        <xdr:cNvPr id="49" name="Oval 347"/>
        <xdr:cNvSpPr>
          <a:spLocks/>
        </xdr:cNvSpPr>
      </xdr:nvSpPr>
      <xdr:spPr>
        <a:xfrm>
          <a:off x="3695700" y="5057775"/>
          <a:ext cx="1238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22</xdr:row>
      <xdr:rowOff>95250</xdr:rowOff>
    </xdr:from>
    <xdr:to>
      <xdr:col>4</xdr:col>
      <xdr:colOff>314325</xdr:colOff>
      <xdr:row>22</xdr:row>
      <xdr:rowOff>180975</xdr:rowOff>
    </xdr:to>
    <xdr:sp>
      <xdr:nvSpPr>
        <xdr:cNvPr id="50" name="Oval 348"/>
        <xdr:cNvSpPr>
          <a:spLocks/>
        </xdr:cNvSpPr>
      </xdr:nvSpPr>
      <xdr:spPr>
        <a:xfrm>
          <a:off x="3705225" y="4972050"/>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22</xdr:row>
      <xdr:rowOff>76200</xdr:rowOff>
    </xdr:from>
    <xdr:to>
      <xdr:col>4</xdr:col>
      <xdr:colOff>409575</xdr:colOff>
      <xdr:row>22</xdr:row>
      <xdr:rowOff>142875</xdr:rowOff>
    </xdr:to>
    <xdr:sp>
      <xdr:nvSpPr>
        <xdr:cNvPr id="51" name="Oval 349"/>
        <xdr:cNvSpPr>
          <a:spLocks/>
        </xdr:cNvSpPr>
      </xdr:nvSpPr>
      <xdr:spPr>
        <a:xfrm>
          <a:off x="3781425" y="495300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22</xdr:row>
      <xdr:rowOff>142875</xdr:rowOff>
    </xdr:from>
    <xdr:to>
      <xdr:col>4</xdr:col>
      <xdr:colOff>381000</xdr:colOff>
      <xdr:row>23</xdr:row>
      <xdr:rowOff>38100</xdr:rowOff>
    </xdr:to>
    <xdr:sp>
      <xdr:nvSpPr>
        <xdr:cNvPr id="52" name="Oval 350"/>
        <xdr:cNvSpPr>
          <a:spLocks/>
        </xdr:cNvSpPr>
      </xdr:nvSpPr>
      <xdr:spPr>
        <a:xfrm>
          <a:off x="3771900" y="501967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23</xdr:row>
      <xdr:rowOff>76200</xdr:rowOff>
    </xdr:from>
    <xdr:to>
      <xdr:col>4</xdr:col>
      <xdr:colOff>390525</xdr:colOff>
      <xdr:row>23</xdr:row>
      <xdr:rowOff>152400</xdr:rowOff>
    </xdr:to>
    <xdr:sp>
      <xdr:nvSpPr>
        <xdr:cNvPr id="53" name="Oval 351"/>
        <xdr:cNvSpPr>
          <a:spLocks/>
        </xdr:cNvSpPr>
      </xdr:nvSpPr>
      <xdr:spPr>
        <a:xfrm>
          <a:off x="3781425" y="51625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22</xdr:row>
      <xdr:rowOff>123825</xdr:rowOff>
    </xdr:from>
    <xdr:to>
      <xdr:col>4</xdr:col>
      <xdr:colOff>485775</xdr:colOff>
      <xdr:row>23</xdr:row>
      <xdr:rowOff>38100</xdr:rowOff>
    </xdr:to>
    <xdr:sp>
      <xdr:nvSpPr>
        <xdr:cNvPr id="54" name="Oval 352"/>
        <xdr:cNvSpPr>
          <a:spLocks/>
        </xdr:cNvSpPr>
      </xdr:nvSpPr>
      <xdr:spPr>
        <a:xfrm>
          <a:off x="3848100" y="5000625"/>
          <a:ext cx="10477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xdr:row>
      <xdr:rowOff>9525</xdr:rowOff>
    </xdr:from>
    <xdr:to>
      <xdr:col>4</xdr:col>
      <xdr:colOff>438150</xdr:colOff>
      <xdr:row>23</xdr:row>
      <xdr:rowOff>104775</xdr:rowOff>
    </xdr:to>
    <xdr:sp>
      <xdr:nvSpPr>
        <xdr:cNvPr id="55" name="Oval 353"/>
        <xdr:cNvSpPr>
          <a:spLocks/>
        </xdr:cNvSpPr>
      </xdr:nvSpPr>
      <xdr:spPr>
        <a:xfrm>
          <a:off x="3819525" y="5095875"/>
          <a:ext cx="857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27</xdr:row>
      <xdr:rowOff>0</xdr:rowOff>
    </xdr:from>
    <xdr:to>
      <xdr:col>5</xdr:col>
      <xdr:colOff>409575</xdr:colOff>
      <xdr:row>27</xdr:row>
      <xdr:rowOff>123825</xdr:rowOff>
    </xdr:to>
    <xdr:sp>
      <xdr:nvSpPr>
        <xdr:cNvPr id="56" name="Oval 354"/>
        <xdr:cNvSpPr>
          <a:spLocks/>
        </xdr:cNvSpPr>
      </xdr:nvSpPr>
      <xdr:spPr>
        <a:xfrm>
          <a:off x="4705350" y="5886450"/>
          <a:ext cx="2095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25</xdr:row>
      <xdr:rowOff>85725</xdr:rowOff>
    </xdr:from>
    <xdr:to>
      <xdr:col>5</xdr:col>
      <xdr:colOff>161925</xdr:colOff>
      <xdr:row>26</xdr:row>
      <xdr:rowOff>0</xdr:rowOff>
    </xdr:to>
    <xdr:sp>
      <xdr:nvSpPr>
        <xdr:cNvPr id="57" name="Oval 355"/>
        <xdr:cNvSpPr>
          <a:spLocks/>
        </xdr:cNvSpPr>
      </xdr:nvSpPr>
      <xdr:spPr>
        <a:xfrm>
          <a:off x="4600575" y="5581650"/>
          <a:ext cx="666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26</xdr:row>
      <xdr:rowOff>28575</xdr:rowOff>
    </xdr:from>
    <xdr:to>
      <xdr:col>5</xdr:col>
      <xdr:colOff>314325</xdr:colOff>
      <xdr:row>26</xdr:row>
      <xdr:rowOff>114300</xdr:rowOff>
    </xdr:to>
    <xdr:sp>
      <xdr:nvSpPr>
        <xdr:cNvPr id="58" name="Oval 356"/>
        <xdr:cNvSpPr>
          <a:spLocks/>
        </xdr:cNvSpPr>
      </xdr:nvSpPr>
      <xdr:spPr>
        <a:xfrm>
          <a:off x="4733925" y="5715000"/>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26</xdr:row>
      <xdr:rowOff>85725</xdr:rowOff>
    </xdr:from>
    <xdr:to>
      <xdr:col>5</xdr:col>
      <xdr:colOff>381000</xdr:colOff>
      <xdr:row>27</xdr:row>
      <xdr:rowOff>0</xdr:rowOff>
    </xdr:to>
    <xdr:sp>
      <xdr:nvSpPr>
        <xdr:cNvPr id="59" name="Oval 357"/>
        <xdr:cNvSpPr>
          <a:spLocks/>
        </xdr:cNvSpPr>
      </xdr:nvSpPr>
      <xdr:spPr>
        <a:xfrm>
          <a:off x="4752975" y="5772150"/>
          <a:ext cx="1333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27</xdr:row>
      <xdr:rowOff>104775</xdr:rowOff>
    </xdr:from>
    <xdr:to>
      <xdr:col>5</xdr:col>
      <xdr:colOff>400050</xdr:colOff>
      <xdr:row>28</xdr:row>
      <xdr:rowOff>19050</xdr:rowOff>
    </xdr:to>
    <xdr:sp>
      <xdr:nvSpPr>
        <xdr:cNvPr id="60" name="Oval 358"/>
        <xdr:cNvSpPr>
          <a:spLocks/>
        </xdr:cNvSpPr>
      </xdr:nvSpPr>
      <xdr:spPr>
        <a:xfrm>
          <a:off x="4819650" y="5991225"/>
          <a:ext cx="857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26</xdr:row>
      <xdr:rowOff>133350</xdr:rowOff>
    </xdr:from>
    <xdr:to>
      <xdr:col>5</xdr:col>
      <xdr:colOff>466725</xdr:colOff>
      <xdr:row>27</xdr:row>
      <xdr:rowOff>57150</xdr:rowOff>
    </xdr:to>
    <xdr:sp>
      <xdr:nvSpPr>
        <xdr:cNvPr id="61" name="Oval 359"/>
        <xdr:cNvSpPr>
          <a:spLocks/>
        </xdr:cNvSpPr>
      </xdr:nvSpPr>
      <xdr:spPr>
        <a:xfrm>
          <a:off x="4886325" y="5819775"/>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27</xdr:row>
      <xdr:rowOff>76200</xdr:rowOff>
    </xdr:from>
    <xdr:to>
      <xdr:col>5</xdr:col>
      <xdr:colOff>457200</xdr:colOff>
      <xdr:row>27</xdr:row>
      <xdr:rowOff>161925</xdr:rowOff>
    </xdr:to>
    <xdr:sp>
      <xdr:nvSpPr>
        <xdr:cNvPr id="62" name="Oval 360"/>
        <xdr:cNvSpPr>
          <a:spLocks/>
        </xdr:cNvSpPr>
      </xdr:nvSpPr>
      <xdr:spPr>
        <a:xfrm>
          <a:off x="4886325" y="59626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27</xdr:row>
      <xdr:rowOff>9525</xdr:rowOff>
    </xdr:from>
    <xdr:to>
      <xdr:col>5</xdr:col>
      <xdr:colOff>561975</xdr:colOff>
      <xdr:row>27</xdr:row>
      <xdr:rowOff>104775</xdr:rowOff>
    </xdr:to>
    <xdr:sp>
      <xdr:nvSpPr>
        <xdr:cNvPr id="63" name="Oval 361"/>
        <xdr:cNvSpPr>
          <a:spLocks/>
        </xdr:cNvSpPr>
      </xdr:nvSpPr>
      <xdr:spPr>
        <a:xfrm>
          <a:off x="4943475" y="58959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27</xdr:row>
      <xdr:rowOff>161925</xdr:rowOff>
    </xdr:from>
    <xdr:to>
      <xdr:col>5</xdr:col>
      <xdr:colOff>476250</xdr:colOff>
      <xdr:row>28</xdr:row>
      <xdr:rowOff>66675</xdr:rowOff>
    </xdr:to>
    <xdr:sp>
      <xdr:nvSpPr>
        <xdr:cNvPr id="64" name="Oval 362"/>
        <xdr:cNvSpPr>
          <a:spLocks/>
        </xdr:cNvSpPr>
      </xdr:nvSpPr>
      <xdr:spPr>
        <a:xfrm>
          <a:off x="4895850" y="604837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104775</xdr:rowOff>
    </xdr:from>
    <xdr:to>
      <xdr:col>5</xdr:col>
      <xdr:colOff>533400</xdr:colOff>
      <xdr:row>28</xdr:row>
      <xdr:rowOff>9525</xdr:rowOff>
    </xdr:to>
    <xdr:sp>
      <xdr:nvSpPr>
        <xdr:cNvPr id="65" name="Oval 363"/>
        <xdr:cNvSpPr>
          <a:spLocks/>
        </xdr:cNvSpPr>
      </xdr:nvSpPr>
      <xdr:spPr>
        <a:xfrm>
          <a:off x="4962525" y="59912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27</xdr:row>
      <xdr:rowOff>57150</xdr:rowOff>
    </xdr:from>
    <xdr:to>
      <xdr:col>5</xdr:col>
      <xdr:colOff>638175</xdr:colOff>
      <xdr:row>28</xdr:row>
      <xdr:rowOff>171450</xdr:rowOff>
    </xdr:to>
    <xdr:sp>
      <xdr:nvSpPr>
        <xdr:cNvPr id="66" name="Oval 364"/>
        <xdr:cNvSpPr>
          <a:spLocks/>
        </xdr:cNvSpPr>
      </xdr:nvSpPr>
      <xdr:spPr>
        <a:xfrm>
          <a:off x="5019675" y="5943600"/>
          <a:ext cx="12382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28</xdr:row>
      <xdr:rowOff>9525</xdr:rowOff>
    </xdr:from>
    <xdr:to>
      <xdr:col>5</xdr:col>
      <xdr:colOff>533400</xdr:colOff>
      <xdr:row>28</xdr:row>
      <xdr:rowOff>114300</xdr:rowOff>
    </xdr:to>
    <xdr:sp>
      <xdr:nvSpPr>
        <xdr:cNvPr id="67" name="Oval 365"/>
        <xdr:cNvSpPr>
          <a:spLocks/>
        </xdr:cNvSpPr>
      </xdr:nvSpPr>
      <xdr:spPr>
        <a:xfrm>
          <a:off x="4962525" y="6076950"/>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28</xdr:row>
      <xdr:rowOff>123825</xdr:rowOff>
    </xdr:from>
    <xdr:to>
      <xdr:col>5</xdr:col>
      <xdr:colOff>685800</xdr:colOff>
      <xdr:row>29</xdr:row>
      <xdr:rowOff>38100</xdr:rowOff>
    </xdr:to>
    <xdr:sp>
      <xdr:nvSpPr>
        <xdr:cNvPr id="68" name="Oval 366"/>
        <xdr:cNvSpPr>
          <a:spLocks/>
        </xdr:cNvSpPr>
      </xdr:nvSpPr>
      <xdr:spPr>
        <a:xfrm>
          <a:off x="5076825" y="6191250"/>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27</xdr:row>
      <xdr:rowOff>133350</xdr:rowOff>
    </xdr:from>
    <xdr:to>
      <xdr:col>5</xdr:col>
      <xdr:colOff>704850</xdr:colOff>
      <xdr:row>28</xdr:row>
      <xdr:rowOff>47625</xdr:rowOff>
    </xdr:to>
    <xdr:sp>
      <xdr:nvSpPr>
        <xdr:cNvPr id="69" name="Oval 367"/>
        <xdr:cNvSpPr>
          <a:spLocks/>
        </xdr:cNvSpPr>
      </xdr:nvSpPr>
      <xdr:spPr>
        <a:xfrm>
          <a:off x="5114925" y="601980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28</xdr:row>
      <xdr:rowOff>9525</xdr:rowOff>
    </xdr:from>
    <xdr:to>
      <xdr:col>5</xdr:col>
      <xdr:colOff>762000</xdr:colOff>
      <xdr:row>28</xdr:row>
      <xdr:rowOff>133350</xdr:rowOff>
    </xdr:to>
    <xdr:sp>
      <xdr:nvSpPr>
        <xdr:cNvPr id="70" name="Oval 368"/>
        <xdr:cNvSpPr>
          <a:spLocks/>
        </xdr:cNvSpPr>
      </xdr:nvSpPr>
      <xdr:spPr>
        <a:xfrm>
          <a:off x="5105400" y="6076950"/>
          <a:ext cx="1619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28</xdr:row>
      <xdr:rowOff>133350</xdr:rowOff>
    </xdr:from>
    <xdr:to>
      <xdr:col>5</xdr:col>
      <xdr:colOff>781050</xdr:colOff>
      <xdr:row>29</xdr:row>
      <xdr:rowOff>95250</xdr:rowOff>
    </xdr:to>
    <xdr:sp>
      <xdr:nvSpPr>
        <xdr:cNvPr id="71" name="Oval 369"/>
        <xdr:cNvSpPr>
          <a:spLocks/>
        </xdr:cNvSpPr>
      </xdr:nvSpPr>
      <xdr:spPr>
        <a:xfrm>
          <a:off x="5181600" y="6200775"/>
          <a:ext cx="10477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28</xdr:row>
      <xdr:rowOff>57150</xdr:rowOff>
    </xdr:from>
    <xdr:to>
      <xdr:col>5</xdr:col>
      <xdr:colOff>866775</xdr:colOff>
      <xdr:row>28</xdr:row>
      <xdr:rowOff>161925</xdr:rowOff>
    </xdr:to>
    <xdr:sp>
      <xdr:nvSpPr>
        <xdr:cNvPr id="72" name="Oval 370"/>
        <xdr:cNvSpPr>
          <a:spLocks/>
        </xdr:cNvSpPr>
      </xdr:nvSpPr>
      <xdr:spPr>
        <a:xfrm>
          <a:off x="5248275" y="6124575"/>
          <a:ext cx="1238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28</xdr:row>
      <xdr:rowOff>161925</xdr:rowOff>
    </xdr:from>
    <xdr:to>
      <xdr:col>5</xdr:col>
      <xdr:colOff>895350</xdr:colOff>
      <xdr:row>29</xdr:row>
      <xdr:rowOff>57150</xdr:rowOff>
    </xdr:to>
    <xdr:sp>
      <xdr:nvSpPr>
        <xdr:cNvPr id="73" name="Oval 371"/>
        <xdr:cNvSpPr>
          <a:spLocks/>
        </xdr:cNvSpPr>
      </xdr:nvSpPr>
      <xdr:spPr>
        <a:xfrm>
          <a:off x="5286375" y="6229350"/>
          <a:ext cx="1143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752475</xdr:colOff>
      <xdr:row>29</xdr:row>
      <xdr:rowOff>47625</xdr:rowOff>
    </xdr:from>
    <xdr:to>
      <xdr:col>5</xdr:col>
      <xdr:colOff>866775</xdr:colOff>
      <xdr:row>29</xdr:row>
      <xdr:rowOff>171450</xdr:rowOff>
    </xdr:to>
    <xdr:sp>
      <xdr:nvSpPr>
        <xdr:cNvPr id="74" name="Oval 372"/>
        <xdr:cNvSpPr>
          <a:spLocks/>
        </xdr:cNvSpPr>
      </xdr:nvSpPr>
      <xdr:spPr>
        <a:xfrm>
          <a:off x="5257800" y="6296025"/>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885825</xdr:colOff>
      <xdr:row>28</xdr:row>
      <xdr:rowOff>161925</xdr:rowOff>
    </xdr:from>
    <xdr:to>
      <xdr:col>6</xdr:col>
      <xdr:colOff>19050</xdr:colOff>
      <xdr:row>29</xdr:row>
      <xdr:rowOff>66675</xdr:rowOff>
    </xdr:to>
    <xdr:sp>
      <xdr:nvSpPr>
        <xdr:cNvPr id="75" name="Oval 373"/>
        <xdr:cNvSpPr>
          <a:spLocks/>
        </xdr:cNvSpPr>
      </xdr:nvSpPr>
      <xdr:spPr>
        <a:xfrm>
          <a:off x="5391150" y="622935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29</xdr:row>
      <xdr:rowOff>57150</xdr:rowOff>
    </xdr:from>
    <xdr:to>
      <xdr:col>6</xdr:col>
      <xdr:colOff>38100</xdr:colOff>
      <xdr:row>30</xdr:row>
      <xdr:rowOff>0</xdr:rowOff>
    </xdr:to>
    <xdr:sp>
      <xdr:nvSpPr>
        <xdr:cNvPr id="76" name="Oval 374"/>
        <xdr:cNvSpPr>
          <a:spLocks/>
        </xdr:cNvSpPr>
      </xdr:nvSpPr>
      <xdr:spPr>
        <a:xfrm>
          <a:off x="5353050" y="630555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28</xdr:row>
      <xdr:rowOff>161925</xdr:rowOff>
    </xdr:from>
    <xdr:to>
      <xdr:col>7</xdr:col>
      <xdr:colOff>19050</xdr:colOff>
      <xdr:row>29</xdr:row>
      <xdr:rowOff>76200</xdr:rowOff>
    </xdr:to>
    <xdr:sp>
      <xdr:nvSpPr>
        <xdr:cNvPr id="77" name="Oval 375"/>
        <xdr:cNvSpPr>
          <a:spLocks/>
        </xdr:cNvSpPr>
      </xdr:nvSpPr>
      <xdr:spPr>
        <a:xfrm>
          <a:off x="6334125" y="6229350"/>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66675</xdr:rowOff>
    </xdr:from>
    <xdr:to>
      <xdr:col>7</xdr:col>
      <xdr:colOff>66675</xdr:colOff>
      <xdr:row>30</xdr:row>
      <xdr:rowOff>0</xdr:rowOff>
    </xdr:to>
    <xdr:sp>
      <xdr:nvSpPr>
        <xdr:cNvPr id="78" name="Oval 376"/>
        <xdr:cNvSpPr>
          <a:spLocks/>
        </xdr:cNvSpPr>
      </xdr:nvSpPr>
      <xdr:spPr>
        <a:xfrm>
          <a:off x="6343650" y="6315075"/>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28</xdr:row>
      <xdr:rowOff>171450</xdr:rowOff>
    </xdr:from>
    <xdr:to>
      <xdr:col>7</xdr:col>
      <xdr:colOff>114300</xdr:colOff>
      <xdr:row>29</xdr:row>
      <xdr:rowOff>76200</xdr:rowOff>
    </xdr:to>
    <xdr:sp>
      <xdr:nvSpPr>
        <xdr:cNvPr id="79" name="Oval 377"/>
        <xdr:cNvSpPr>
          <a:spLocks/>
        </xdr:cNvSpPr>
      </xdr:nvSpPr>
      <xdr:spPr>
        <a:xfrm>
          <a:off x="6448425" y="6238875"/>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47625</xdr:rowOff>
    </xdr:from>
    <xdr:to>
      <xdr:col>7</xdr:col>
      <xdr:colOff>285750</xdr:colOff>
      <xdr:row>28</xdr:row>
      <xdr:rowOff>171450</xdr:rowOff>
    </xdr:to>
    <xdr:sp>
      <xdr:nvSpPr>
        <xdr:cNvPr id="80" name="Oval 378"/>
        <xdr:cNvSpPr>
          <a:spLocks/>
        </xdr:cNvSpPr>
      </xdr:nvSpPr>
      <xdr:spPr>
        <a:xfrm>
          <a:off x="6600825" y="6115050"/>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29</xdr:row>
      <xdr:rowOff>0</xdr:rowOff>
    </xdr:from>
    <xdr:to>
      <xdr:col>7</xdr:col>
      <xdr:colOff>209550</xdr:colOff>
      <xdr:row>29</xdr:row>
      <xdr:rowOff>123825</xdr:rowOff>
    </xdr:to>
    <xdr:sp>
      <xdr:nvSpPr>
        <xdr:cNvPr id="81" name="Oval 379"/>
        <xdr:cNvSpPr>
          <a:spLocks/>
        </xdr:cNvSpPr>
      </xdr:nvSpPr>
      <xdr:spPr>
        <a:xfrm>
          <a:off x="6524625" y="6248400"/>
          <a:ext cx="1143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28</xdr:row>
      <xdr:rowOff>161925</xdr:rowOff>
    </xdr:from>
    <xdr:to>
      <xdr:col>6</xdr:col>
      <xdr:colOff>95250</xdr:colOff>
      <xdr:row>29</xdr:row>
      <xdr:rowOff>85725</xdr:rowOff>
    </xdr:to>
    <xdr:sp>
      <xdr:nvSpPr>
        <xdr:cNvPr id="82" name="Oval 380"/>
        <xdr:cNvSpPr>
          <a:spLocks/>
        </xdr:cNvSpPr>
      </xdr:nvSpPr>
      <xdr:spPr>
        <a:xfrm>
          <a:off x="5476875" y="6229350"/>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21</xdr:row>
      <xdr:rowOff>9525</xdr:rowOff>
    </xdr:from>
    <xdr:to>
      <xdr:col>2</xdr:col>
      <xdr:colOff>685800</xdr:colOff>
      <xdr:row>21</xdr:row>
      <xdr:rowOff>104775</xdr:rowOff>
    </xdr:to>
    <xdr:sp>
      <xdr:nvSpPr>
        <xdr:cNvPr id="83" name="Oval 381"/>
        <xdr:cNvSpPr>
          <a:spLocks/>
        </xdr:cNvSpPr>
      </xdr:nvSpPr>
      <xdr:spPr>
        <a:xfrm>
          <a:off x="2124075" y="46767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21</xdr:row>
      <xdr:rowOff>0</xdr:rowOff>
    </xdr:from>
    <xdr:to>
      <xdr:col>2</xdr:col>
      <xdr:colOff>781050</xdr:colOff>
      <xdr:row>21</xdr:row>
      <xdr:rowOff>95250</xdr:rowOff>
    </xdr:to>
    <xdr:sp>
      <xdr:nvSpPr>
        <xdr:cNvPr id="84" name="Oval 382"/>
        <xdr:cNvSpPr>
          <a:spLocks/>
        </xdr:cNvSpPr>
      </xdr:nvSpPr>
      <xdr:spPr>
        <a:xfrm>
          <a:off x="2228850" y="46672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21</xdr:row>
      <xdr:rowOff>95250</xdr:rowOff>
    </xdr:from>
    <xdr:to>
      <xdr:col>2</xdr:col>
      <xdr:colOff>695325</xdr:colOff>
      <xdr:row>22</xdr:row>
      <xdr:rowOff>9525</xdr:rowOff>
    </xdr:to>
    <xdr:sp>
      <xdr:nvSpPr>
        <xdr:cNvPr id="85" name="Oval 383"/>
        <xdr:cNvSpPr>
          <a:spLocks/>
        </xdr:cNvSpPr>
      </xdr:nvSpPr>
      <xdr:spPr>
        <a:xfrm>
          <a:off x="2114550" y="47625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21</xdr:row>
      <xdr:rowOff>66675</xdr:rowOff>
    </xdr:from>
    <xdr:to>
      <xdr:col>2</xdr:col>
      <xdr:colOff>866775</xdr:colOff>
      <xdr:row>22</xdr:row>
      <xdr:rowOff>9525</xdr:rowOff>
    </xdr:to>
    <xdr:sp>
      <xdr:nvSpPr>
        <xdr:cNvPr id="86" name="Oval 384"/>
        <xdr:cNvSpPr>
          <a:spLocks/>
        </xdr:cNvSpPr>
      </xdr:nvSpPr>
      <xdr:spPr>
        <a:xfrm>
          <a:off x="2305050" y="473392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847725</xdr:colOff>
      <xdr:row>21</xdr:row>
      <xdr:rowOff>9525</xdr:rowOff>
    </xdr:from>
    <xdr:to>
      <xdr:col>2</xdr:col>
      <xdr:colOff>952500</xdr:colOff>
      <xdr:row>21</xdr:row>
      <xdr:rowOff>85725</xdr:rowOff>
    </xdr:to>
    <xdr:sp>
      <xdr:nvSpPr>
        <xdr:cNvPr id="87" name="Oval 385"/>
        <xdr:cNvSpPr>
          <a:spLocks/>
        </xdr:cNvSpPr>
      </xdr:nvSpPr>
      <xdr:spPr>
        <a:xfrm>
          <a:off x="2390775" y="4676775"/>
          <a:ext cx="1047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866775</xdr:colOff>
      <xdr:row>21</xdr:row>
      <xdr:rowOff>95250</xdr:rowOff>
    </xdr:from>
    <xdr:to>
      <xdr:col>3</xdr:col>
      <xdr:colOff>0</xdr:colOff>
      <xdr:row>22</xdr:row>
      <xdr:rowOff>9525</xdr:rowOff>
    </xdr:to>
    <xdr:sp>
      <xdr:nvSpPr>
        <xdr:cNvPr id="88" name="Oval 386"/>
        <xdr:cNvSpPr>
          <a:spLocks/>
        </xdr:cNvSpPr>
      </xdr:nvSpPr>
      <xdr:spPr>
        <a:xfrm>
          <a:off x="2409825" y="4762500"/>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21</xdr:row>
      <xdr:rowOff>85725</xdr:rowOff>
    </xdr:from>
    <xdr:to>
      <xdr:col>3</xdr:col>
      <xdr:colOff>114300</xdr:colOff>
      <xdr:row>22</xdr:row>
      <xdr:rowOff>9525</xdr:rowOff>
    </xdr:to>
    <xdr:sp>
      <xdr:nvSpPr>
        <xdr:cNvPr id="89" name="Oval 387"/>
        <xdr:cNvSpPr>
          <a:spLocks/>
        </xdr:cNvSpPr>
      </xdr:nvSpPr>
      <xdr:spPr>
        <a:xfrm>
          <a:off x="2514600" y="475297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21</xdr:row>
      <xdr:rowOff>104775</xdr:rowOff>
    </xdr:from>
    <xdr:to>
      <xdr:col>2</xdr:col>
      <xdr:colOff>771525</xdr:colOff>
      <xdr:row>22</xdr:row>
      <xdr:rowOff>9525</xdr:rowOff>
    </xdr:to>
    <xdr:sp>
      <xdr:nvSpPr>
        <xdr:cNvPr id="90" name="Oval 388"/>
        <xdr:cNvSpPr>
          <a:spLocks/>
        </xdr:cNvSpPr>
      </xdr:nvSpPr>
      <xdr:spPr>
        <a:xfrm>
          <a:off x="2228850" y="4772025"/>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21</xdr:row>
      <xdr:rowOff>0</xdr:rowOff>
    </xdr:from>
    <xdr:to>
      <xdr:col>2</xdr:col>
      <xdr:colOff>590550</xdr:colOff>
      <xdr:row>21</xdr:row>
      <xdr:rowOff>76200</xdr:rowOff>
    </xdr:to>
    <xdr:sp>
      <xdr:nvSpPr>
        <xdr:cNvPr id="91" name="Oval 389"/>
        <xdr:cNvSpPr>
          <a:spLocks/>
        </xdr:cNvSpPr>
      </xdr:nvSpPr>
      <xdr:spPr>
        <a:xfrm>
          <a:off x="2038350" y="4667250"/>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21</xdr:row>
      <xdr:rowOff>0</xdr:rowOff>
    </xdr:from>
    <xdr:to>
      <xdr:col>2</xdr:col>
      <xdr:colOff>857250</xdr:colOff>
      <xdr:row>21</xdr:row>
      <xdr:rowOff>85725</xdr:rowOff>
    </xdr:to>
    <xdr:sp>
      <xdr:nvSpPr>
        <xdr:cNvPr id="92" name="Oval 390"/>
        <xdr:cNvSpPr>
          <a:spLocks/>
        </xdr:cNvSpPr>
      </xdr:nvSpPr>
      <xdr:spPr>
        <a:xfrm>
          <a:off x="2305050" y="4667250"/>
          <a:ext cx="952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21</xdr:row>
      <xdr:rowOff>66675</xdr:rowOff>
    </xdr:from>
    <xdr:to>
      <xdr:col>3</xdr:col>
      <xdr:colOff>28575</xdr:colOff>
      <xdr:row>21</xdr:row>
      <xdr:rowOff>142875</xdr:rowOff>
    </xdr:to>
    <xdr:sp>
      <xdr:nvSpPr>
        <xdr:cNvPr id="93" name="Oval 391"/>
        <xdr:cNvSpPr>
          <a:spLocks/>
        </xdr:cNvSpPr>
      </xdr:nvSpPr>
      <xdr:spPr>
        <a:xfrm>
          <a:off x="2457450" y="47339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28</xdr:row>
      <xdr:rowOff>0</xdr:rowOff>
    </xdr:from>
    <xdr:to>
      <xdr:col>7</xdr:col>
      <xdr:colOff>304800</xdr:colOff>
      <xdr:row>28</xdr:row>
      <xdr:rowOff>76200</xdr:rowOff>
    </xdr:to>
    <xdr:sp>
      <xdr:nvSpPr>
        <xdr:cNvPr id="94" name="Oval 392"/>
        <xdr:cNvSpPr>
          <a:spLocks/>
        </xdr:cNvSpPr>
      </xdr:nvSpPr>
      <xdr:spPr>
        <a:xfrm>
          <a:off x="6657975" y="6067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28</xdr:row>
      <xdr:rowOff>104775</xdr:rowOff>
    </xdr:from>
    <xdr:to>
      <xdr:col>7</xdr:col>
      <xdr:colOff>209550</xdr:colOff>
      <xdr:row>29</xdr:row>
      <xdr:rowOff>0</xdr:rowOff>
    </xdr:to>
    <xdr:sp>
      <xdr:nvSpPr>
        <xdr:cNvPr id="95" name="Oval 393"/>
        <xdr:cNvSpPr>
          <a:spLocks/>
        </xdr:cNvSpPr>
      </xdr:nvSpPr>
      <xdr:spPr>
        <a:xfrm>
          <a:off x="6562725" y="61722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28</xdr:row>
      <xdr:rowOff>123825</xdr:rowOff>
    </xdr:from>
    <xdr:to>
      <xdr:col>7</xdr:col>
      <xdr:colOff>285750</xdr:colOff>
      <xdr:row>29</xdr:row>
      <xdr:rowOff>38100</xdr:rowOff>
    </xdr:to>
    <xdr:sp>
      <xdr:nvSpPr>
        <xdr:cNvPr id="96" name="Oval 394"/>
        <xdr:cNvSpPr>
          <a:spLocks/>
        </xdr:cNvSpPr>
      </xdr:nvSpPr>
      <xdr:spPr>
        <a:xfrm>
          <a:off x="6600825" y="6191250"/>
          <a:ext cx="1143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21</xdr:row>
      <xdr:rowOff>161925</xdr:rowOff>
    </xdr:from>
    <xdr:to>
      <xdr:col>4</xdr:col>
      <xdr:colOff>28575</xdr:colOff>
      <xdr:row>22</xdr:row>
      <xdr:rowOff>85725</xdr:rowOff>
    </xdr:to>
    <xdr:sp>
      <xdr:nvSpPr>
        <xdr:cNvPr id="97" name="Oval 395"/>
        <xdr:cNvSpPr>
          <a:spLocks/>
        </xdr:cNvSpPr>
      </xdr:nvSpPr>
      <xdr:spPr>
        <a:xfrm>
          <a:off x="3390900" y="482917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29</xdr:row>
      <xdr:rowOff>66675</xdr:rowOff>
    </xdr:from>
    <xdr:to>
      <xdr:col>7</xdr:col>
      <xdr:colOff>142875</xdr:colOff>
      <xdr:row>29</xdr:row>
      <xdr:rowOff>161925</xdr:rowOff>
    </xdr:to>
    <xdr:sp>
      <xdr:nvSpPr>
        <xdr:cNvPr id="98" name="Oval 396"/>
        <xdr:cNvSpPr>
          <a:spLocks/>
        </xdr:cNvSpPr>
      </xdr:nvSpPr>
      <xdr:spPr>
        <a:xfrm>
          <a:off x="6496050" y="6315075"/>
          <a:ext cx="7620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25</xdr:row>
      <xdr:rowOff>66675</xdr:rowOff>
    </xdr:from>
    <xdr:to>
      <xdr:col>4</xdr:col>
      <xdr:colOff>904875</xdr:colOff>
      <xdr:row>25</xdr:row>
      <xdr:rowOff>180975</xdr:rowOff>
    </xdr:to>
    <xdr:sp>
      <xdr:nvSpPr>
        <xdr:cNvPr id="99" name="Oval 397"/>
        <xdr:cNvSpPr>
          <a:spLocks/>
        </xdr:cNvSpPr>
      </xdr:nvSpPr>
      <xdr:spPr>
        <a:xfrm>
          <a:off x="4295775" y="5562600"/>
          <a:ext cx="762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26</xdr:row>
      <xdr:rowOff>85725</xdr:rowOff>
    </xdr:from>
    <xdr:to>
      <xdr:col>5</xdr:col>
      <xdr:colOff>142875</xdr:colOff>
      <xdr:row>26</xdr:row>
      <xdr:rowOff>190500</xdr:rowOff>
    </xdr:to>
    <xdr:sp>
      <xdr:nvSpPr>
        <xdr:cNvPr id="100" name="Oval 398"/>
        <xdr:cNvSpPr>
          <a:spLocks/>
        </xdr:cNvSpPr>
      </xdr:nvSpPr>
      <xdr:spPr>
        <a:xfrm>
          <a:off x="4552950" y="5772150"/>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28</xdr:row>
      <xdr:rowOff>123825</xdr:rowOff>
    </xdr:from>
    <xdr:to>
      <xdr:col>7</xdr:col>
      <xdr:colOff>133350</xdr:colOff>
      <xdr:row>29</xdr:row>
      <xdr:rowOff>0</xdr:rowOff>
    </xdr:to>
    <xdr:sp>
      <xdr:nvSpPr>
        <xdr:cNvPr id="101" name="Oval 399"/>
        <xdr:cNvSpPr>
          <a:spLocks/>
        </xdr:cNvSpPr>
      </xdr:nvSpPr>
      <xdr:spPr>
        <a:xfrm>
          <a:off x="6515100" y="6191250"/>
          <a:ext cx="476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23</xdr:row>
      <xdr:rowOff>123825</xdr:rowOff>
    </xdr:from>
    <xdr:to>
      <xdr:col>4</xdr:col>
      <xdr:colOff>447675</xdr:colOff>
      <xdr:row>24</xdr:row>
      <xdr:rowOff>19050</xdr:rowOff>
    </xdr:to>
    <xdr:sp>
      <xdr:nvSpPr>
        <xdr:cNvPr id="102" name="Oval 400"/>
        <xdr:cNvSpPr>
          <a:spLocks/>
        </xdr:cNvSpPr>
      </xdr:nvSpPr>
      <xdr:spPr>
        <a:xfrm>
          <a:off x="3838575" y="521017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29</xdr:row>
      <xdr:rowOff>76200</xdr:rowOff>
    </xdr:from>
    <xdr:to>
      <xdr:col>6</xdr:col>
      <xdr:colOff>76200</xdr:colOff>
      <xdr:row>30</xdr:row>
      <xdr:rowOff>0</xdr:rowOff>
    </xdr:to>
    <xdr:sp>
      <xdr:nvSpPr>
        <xdr:cNvPr id="103" name="Oval 401"/>
        <xdr:cNvSpPr>
          <a:spLocks/>
        </xdr:cNvSpPr>
      </xdr:nvSpPr>
      <xdr:spPr>
        <a:xfrm>
          <a:off x="5486400" y="6324600"/>
          <a:ext cx="571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29</xdr:row>
      <xdr:rowOff>9525</xdr:rowOff>
    </xdr:from>
    <xdr:to>
      <xdr:col>7</xdr:col>
      <xdr:colOff>257175</xdr:colOff>
      <xdr:row>29</xdr:row>
      <xdr:rowOff>76200</xdr:rowOff>
    </xdr:to>
    <xdr:sp>
      <xdr:nvSpPr>
        <xdr:cNvPr id="104" name="Oval 402"/>
        <xdr:cNvSpPr>
          <a:spLocks/>
        </xdr:cNvSpPr>
      </xdr:nvSpPr>
      <xdr:spPr>
        <a:xfrm>
          <a:off x="6600825" y="6257925"/>
          <a:ext cx="85725"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22</xdr:row>
      <xdr:rowOff>76200</xdr:rowOff>
    </xdr:from>
    <xdr:to>
      <xdr:col>4</xdr:col>
      <xdr:colOff>38100</xdr:colOff>
      <xdr:row>22</xdr:row>
      <xdr:rowOff>114300</xdr:rowOff>
    </xdr:to>
    <xdr:sp>
      <xdr:nvSpPr>
        <xdr:cNvPr id="105" name="Oval 403"/>
        <xdr:cNvSpPr>
          <a:spLocks/>
        </xdr:cNvSpPr>
      </xdr:nvSpPr>
      <xdr:spPr>
        <a:xfrm>
          <a:off x="3448050" y="4953000"/>
          <a:ext cx="5715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27</xdr:row>
      <xdr:rowOff>76200</xdr:rowOff>
    </xdr:from>
    <xdr:to>
      <xdr:col>5</xdr:col>
      <xdr:colOff>314325</xdr:colOff>
      <xdr:row>27</xdr:row>
      <xdr:rowOff>152400</xdr:rowOff>
    </xdr:to>
    <xdr:sp>
      <xdr:nvSpPr>
        <xdr:cNvPr id="106" name="Oval 404"/>
        <xdr:cNvSpPr>
          <a:spLocks/>
        </xdr:cNvSpPr>
      </xdr:nvSpPr>
      <xdr:spPr>
        <a:xfrm>
          <a:off x="4781550" y="5962650"/>
          <a:ext cx="381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26</xdr:row>
      <xdr:rowOff>114300</xdr:rowOff>
    </xdr:from>
    <xdr:to>
      <xdr:col>5</xdr:col>
      <xdr:colOff>295275</xdr:colOff>
      <xdr:row>26</xdr:row>
      <xdr:rowOff>171450</xdr:rowOff>
    </xdr:to>
    <xdr:sp>
      <xdr:nvSpPr>
        <xdr:cNvPr id="107" name="Oval 405"/>
        <xdr:cNvSpPr>
          <a:spLocks/>
        </xdr:cNvSpPr>
      </xdr:nvSpPr>
      <xdr:spPr>
        <a:xfrm>
          <a:off x="4762500" y="5800725"/>
          <a:ext cx="38100"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28</xdr:row>
      <xdr:rowOff>123825</xdr:rowOff>
    </xdr:from>
    <xdr:to>
      <xdr:col>5</xdr:col>
      <xdr:colOff>904875</xdr:colOff>
      <xdr:row>28</xdr:row>
      <xdr:rowOff>161925</xdr:rowOff>
    </xdr:to>
    <xdr:sp>
      <xdr:nvSpPr>
        <xdr:cNvPr id="108" name="Oval 406"/>
        <xdr:cNvSpPr>
          <a:spLocks/>
        </xdr:cNvSpPr>
      </xdr:nvSpPr>
      <xdr:spPr>
        <a:xfrm>
          <a:off x="5353050" y="6191250"/>
          <a:ext cx="5715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23</xdr:row>
      <xdr:rowOff>200025</xdr:rowOff>
    </xdr:from>
    <xdr:to>
      <xdr:col>4</xdr:col>
      <xdr:colOff>533400</xdr:colOff>
      <xdr:row>24</xdr:row>
      <xdr:rowOff>76200</xdr:rowOff>
    </xdr:to>
    <xdr:sp>
      <xdr:nvSpPr>
        <xdr:cNvPr id="109" name="Oval 407"/>
        <xdr:cNvSpPr>
          <a:spLocks/>
        </xdr:cNvSpPr>
      </xdr:nvSpPr>
      <xdr:spPr>
        <a:xfrm>
          <a:off x="3924300" y="52863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24</xdr:row>
      <xdr:rowOff>66675</xdr:rowOff>
    </xdr:from>
    <xdr:to>
      <xdr:col>4</xdr:col>
      <xdr:colOff>485775</xdr:colOff>
      <xdr:row>26</xdr:row>
      <xdr:rowOff>123825</xdr:rowOff>
    </xdr:to>
    <xdr:sp>
      <xdr:nvSpPr>
        <xdr:cNvPr id="110" name="Line 408"/>
        <xdr:cNvSpPr>
          <a:spLocks/>
        </xdr:cNvSpPr>
      </xdr:nvSpPr>
      <xdr:spPr>
        <a:xfrm flipV="1">
          <a:off x="3733800" y="5362575"/>
          <a:ext cx="219075" cy="4476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23</xdr:row>
      <xdr:rowOff>114300</xdr:rowOff>
    </xdr:from>
    <xdr:to>
      <xdr:col>4</xdr:col>
      <xdr:colOff>504825</xdr:colOff>
      <xdr:row>24</xdr:row>
      <xdr:rowOff>9525</xdr:rowOff>
    </xdr:to>
    <xdr:sp>
      <xdr:nvSpPr>
        <xdr:cNvPr id="111" name="Oval 409"/>
        <xdr:cNvSpPr>
          <a:spLocks/>
        </xdr:cNvSpPr>
      </xdr:nvSpPr>
      <xdr:spPr>
        <a:xfrm>
          <a:off x="3895725" y="5200650"/>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23</xdr:row>
      <xdr:rowOff>57150</xdr:rowOff>
    </xdr:from>
    <xdr:to>
      <xdr:col>4</xdr:col>
      <xdr:colOff>514350</xdr:colOff>
      <xdr:row>23</xdr:row>
      <xdr:rowOff>133350</xdr:rowOff>
    </xdr:to>
    <xdr:sp>
      <xdr:nvSpPr>
        <xdr:cNvPr id="112" name="Oval 410"/>
        <xdr:cNvSpPr>
          <a:spLocks/>
        </xdr:cNvSpPr>
      </xdr:nvSpPr>
      <xdr:spPr>
        <a:xfrm>
          <a:off x="3895725" y="5143500"/>
          <a:ext cx="8572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23</xdr:row>
      <xdr:rowOff>57150</xdr:rowOff>
    </xdr:from>
    <xdr:to>
      <xdr:col>4</xdr:col>
      <xdr:colOff>666750</xdr:colOff>
      <xdr:row>23</xdr:row>
      <xdr:rowOff>171450</xdr:rowOff>
    </xdr:to>
    <xdr:sp>
      <xdr:nvSpPr>
        <xdr:cNvPr id="113" name="Oval 411"/>
        <xdr:cNvSpPr>
          <a:spLocks/>
        </xdr:cNvSpPr>
      </xdr:nvSpPr>
      <xdr:spPr>
        <a:xfrm>
          <a:off x="3971925" y="5143500"/>
          <a:ext cx="1619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23</xdr:row>
      <xdr:rowOff>142875</xdr:rowOff>
    </xdr:from>
    <xdr:to>
      <xdr:col>4</xdr:col>
      <xdr:colOff>590550</xdr:colOff>
      <xdr:row>24</xdr:row>
      <xdr:rowOff>28575</xdr:rowOff>
    </xdr:to>
    <xdr:sp>
      <xdr:nvSpPr>
        <xdr:cNvPr id="114" name="Oval 412"/>
        <xdr:cNvSpPr>
          <a:spLocks/>
        </xdr:cNvSpPr>
      </xdr:nvSpPr>
      <xdr:spPr>
        <a:xfrm>
          <a:off x="3962400" y="52292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22</xdr:row>
      <xdr:rowOff>161925</xdr:rowOff>
    </xdr:from>
    <xdr:to>
      <xdr:col>4</xdr:col>
      <xdr:colOff>542925</xdr:colOff>
      <xdr:row>23</xdr:row>
      <xdr:rowOff>66675</xdr:rowOff>
    </xdr:to>
    <xdr:sp>
      <xdr:nvSpPr>
        <xdr:cNvPr id="115" name="Oval 413"/>
        <xdr:cNvSpPr>
          <a:spLocks/>
        </xdr:cNvSpPr>
      </xdr:nvSpPr>
      <xdr:spPr>
        <a:xfrm>
          <a:off x="3914775" y="5038725"/>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23</xdr:row>
      <xdr:rowOff>19050</xdr:rowOff>
    </xdr:from>
    <xdr:to>
      <xdr:col>4</xdr:col>
      <xdr:colOff>600075</xdr:colOff>
      <xdr:row>23</xdr:row>
      <xdr:rowOff>95250</xdr:rowOff>
    </xdr:to>
    <xdr:sp>
      <xdr:nvSpPr>
        <xdr:cNvPr id="116" name="Oval 414"/>
        <xdr:cNvSpPr>
          <a:spLocks/>
        </xdr:cNvSpPr>
      </xdr:nvSpPr>
      <xdr:spPr>
        <a:xfrm>
          <a:off x="3990975" y="51054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18</xdr:row>
      <xdr:rowOff>104775</xdr:rowOff>
    </xdr:from>
    <xdr:to>
      <xdr:col>1</xdr:col>
      <xdr:colOff>857250</xdr:colOff>
      <xdr:row>20</xdr:row>
      <xdr:rowOff>95250</xdr:rowOff>
    </xdr:to>
    <xdr:sp>
      <xdr:nvSpPr>
        <xdr:cNvPr id="117" name="Rectangle 415"/>
        <xdr:cNvSpPr>
          <a:spLocks/>
        </xdr:cNvSpPr>
      </xdr:nvSpPr>
      <xdr:spPr>
        <a:xfrm>
          <a:off x="609600" y="4143375"/>
          <a:ext cx="828675" cy="4095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Upstream</a:t>
          </a:r>
        </a:p>
      </xdr:txBody>
    </xdr:sp>
    <xdr:clientData/>
  </xdr:twoCellAnchor>
  <xdr:twoCellAnchor>
    <xdr:from>
      <xdr:col>8</xdr:col>
      <xdr:colOff>257175</xdr:colOff>
      <xdr:row>25</xdr:row>
      <xdr:rowOff>152400</xdr:rowOff>
    </xdr:from>
    <xdr:to>
      <xdr:col>9</xdr:col>
      <xdr:colOff>314325</xdr:colOff>
      <xdr:row>28</xdr:row>
      <xdr:rowOff>38100</xdr:rowOff>
    </xdr:to>
    <xdr:sp>
      <xdr:nvSpPr>
        <xdr:cNvPr id="118" name="Rectangle 416"/>
        <xdr:cNvSpPr>
          <a:spLocks/>
        </xdr:cNvSpPr>
      </xdr:nvSpPr>
      <xdr:spPr>
        <a:xfrm>
          <a:off x="7648575" y="5648325"/>
          <a:ext cx="1019175" cy="4572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Downstream</a:t>
          </a:r>
        </a:p>
      </xdr:txBody>
    </xdr:sp>
    <xdr:clientData/>
  </xdr:twoCellAnchor>
  <xdr:twoCellAnchor>
    <xdr:from>
      <xdr:col>1</xdr:col>
      <xdr:colOff>133350</xdr:colOff>
      <xdr:row>19</xdr:row>
      <xdr:rowOff>28575</xdr:rowOff>
    </xdr:from>
    <xdr:to>
      <xdr:col>1</xdr:col>
      <xdr:colOff>828675</xdr:colOff>
      <xdr:row>20</xdr:row>
      <xdr:rowOff>38100</xdr:rowOff>
    </xdr:to>
    <xdr:sp>
      <xdr:nvSpPr>
        <xdr:cNvPr id="119" name="Rectangle 417"/>
        <xdr:cNvSpPr>
          <a:spLocks/>
        </xdr:cNvSpPr>
      </xdr:nvSpPr>
      <xdr:spPr>
        <a:xfrm>
          <a:off x="714375" y="4276725"/>
          <a:ext cx="695325" cy="2190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Channel</a:t>
          </a:r>
        </a:p>
      </xdr:txBody>
    </xdr:sp>
    <xdr:clientData/>
  </xdr:twoCellAnchor>
  <xdr:twoCellAnchor>
    <xdr:from>
      <xdr:col>8</xdr:col>
      <xdr:colOff>447675</xdr:colOff>
      <xdr:row>26</xdr:row>
      <xdr:rowOff>123825</xdr:rowOff>
    </xdr:from>
    <xdr:to>
      <xdr:col>9</xdr:col>
      <xdr:colOff>200025</xdr:colOff>
      <xdr:row>28</xdr:row>
      <xdr:rowOff>38100</xdr:rowOff>
    </xdr:to>
    <xdr:sp>
      <xdr:nvSpPr>
        <xdr:cNvPr id="120" name="Rectangle 418"/>
        <xdr:cNvSpPr>
          <a:spLocks/>
        </xdr:cNvSpPr>
      </xdr:nvSpPr>
      <xdr:spPr>
        <a:xfrm>
          <a:off x="7839075" y="5810250"/>
          <a:ext cx="714375" cy="2952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Channel</a:t>
          </a:r>
        </a:p>
      </xdr:txBody>
    </xdr:sp>
    <xdr:clientData/>
  </xdr:twoCellAnchor>
  <xdr:twoCellAnchor>
    <xdr:from>
      <xdr:col>7</xdr:col>
      <xdr:colOff>457200</xdr:colOff>
      <xdr:row>29</xdr:row>
      <xdr:rowOff>142875</xdr:rowOff>
    </xdr:from>
    <xdr:to>
      <xdr:col>7</xdr:col>
      <xdr:colOff>714375</xdr:colOff>
      <xdr:row>30</xdr:row>
      <xdr:rowOff>114300</xdr:rowOff>
    </xdr:to>
    <xdr:sp>
      <xdr:nvSpPr>
        <xdr:cNvPr id="121" name="Freeform 419"/>
        <xdr:cNvSpPr>
          <a:spLocks/>
        </xdr:cNvSpPr>
      </xdr:nvSpPr>
      <xdr:spPr>
        <a:xfrm>
          <a:off x="6886575" y="6391275"/>
          <a:ext cx="257175" cy="161925"/>
        </a:xfrm>
        <a:custGeom>
          <a:pathLst>
            <a:path h="18" w="27">
              <a:moveTo>
                <a:pt x="0" y="0"/>
              </a:moveTo>
              <a:cubicBezTo>
                <a:pt x="0" y="1"/>
                <a:pt x="0" y="3"/>
                <a:pt x="0" y="5"/>
              </a:cubicBezTo>
              <a:cubicBezTo>
                <a:pt x="0" y="7"/>
                <a:pt x="1" y="11"/>
                <a:pt x="2" y="13"/>
              </a:cubicBezTo>
              <a:cubicBezTo>
                <a:pt x="3" y="15"/>
                <a:pt x="4" y="16"/>
                <a:pt x="6" y="17"/>
              </a:cubicBezTo>
              <a:cubicBezTo>
                <a:pt x="8" y="18"/>
                <a:pt x="14" y="18"/>
                <a:pt x="17" y="18"/>
              </a:cubicBezTo>
              <a:cubicBezTo>
                <a:pt x="20" y="18"/>
                <a:pt x="25" y="18"/>
                <a:pt x="27" y="18"/>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981075</xdr:colOff>
      <xdr:row>27</xdr:row>
      <xdr:rowOff>104775</xdr:rowOff>
    </xdr:from>
    <xdr:to>
      <xdr:col>5</xdr:col>
      <xdr:colOff>152400</xdr:colOff>
      <xdr:row>28</xdr:row>
      <xdr:rowOff>133350</xdr:rowOff>
    </xdr:to>
    <xdr:sp>
      <xdr:nvSpPr>
        <xdr:cNvPr id="122" name="Text Box 420"/>
        <xdr:cNvSpPr txBox="1">
          <a:spLocks noChangeArrowheads="1"/>
        </xdr:cNvSpPr>
      </xdr:nvSpPr>
      <xdr:spPr>
        <a:xfrm>
          <a:off x="4448175" y="5991225"/>
          <a:ext cx="209550" cy="2095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a:t>
          </a:r>
        </a:p>
      </xdr:txBody>
    </xdr:sp>
    <xdr:clientData/>
  </xdr:twoCellAnchor>
  <xdr:twoCellAnchor>
    <xdr:from>
      <xdr:col>2</xdr:col>
      <xdr:colOff>695325</xdr:colOff>
      <xdr:row>26</xdr:row>
      <xdr:rowOff>152400</xdr:rowOff>
    </xdr:from>
    <xdr:to>
      <xdr:col>3</xdr:col>
      <xdr:colOff>514350</xdr:colOff>
      <xdr:row>27</xdr:row>
      <xdr:rowOff>171450</xdr:rowOff>
    </xdr:to>
    <xdr:sp>
      <xdr:nvSpPr>
        <xdr:cNvPr id="123" name="Text Box 421"/>
        <xdr:cNvSpPr txBox="1">
          <a:spLocks noChangeArrowheads="1"/>
        </xdr:cNvSpPr>
      </xdr:nvSpPr>
      <xdr:spPr>
        <a:xfrm>
          <a:off x="2238375" y="5838825"/>
          <a:ext cx="7810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Geotextile</a:t>
          </a:r>
        </a:p>
      </xdr:txBody>
    </xdr:sp>
    <xdr:clientData/>
  </xdr:twoCellAnchor>
  <xdr:twoCellAnchor>
    <xdr:from>
      <xdr:col>4</xdr:col>
      <xdr:colOff>95250</xdr:colOff>
      <xdr:row>26</xdr:row>
      <xdr:rowOff>123825</xdr:rowOff>
    </xdr:from>
    <xdr:to>
      <xdr:col>4</xdr:col>
      <xdr:colOff>266700</xdr:colOff>
      <xdr:row>27</xdr:row>
      <xdr:rowOff>66675</xdr:rowOff>
    </xdr:to>
    <xdr:sp>
      <xdr:nvSpPr>
        <xdr:cNvPr id="124" name="Freeform 422"/>
        <xdr:cNvSpPr>
          <a:spLocks/>
        </xdr:cNvSpPr>
      </xdr:nvSpPr>
      <xdr:spPr>
        <a:xfrm>
          <a:off x="3562350" y="5810250"/>
          <a:ext cx="171450" cy="142875"/>
        </a:xfrm>
        <a:custGeom>
          <a:pathLst>
            <a:path h="12" w="18">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21</xdr:row>
      <xdr:rowOff>0</xdr:rowOff>
    </xdr:from>
    <xdr:to>
      <xdr:col>4</xdr:col>
      <xdr:colOff>190500</xdr:colOff>
      <xdr:row>21</xdr:row>
      <xdr:rowOff>142875</xdr:rowOff>
    </xdr:to>
    <xdr:sp>
      <xdr:nvSpPr>
        <xdr:cNvPr id="125" name="Freeform 423"/>
        <xdr:cNvSpPr>
          <a:spLocks/>
        </xdr:cNvSpPr>
      </xdr:nvSpPr>
      <xdr:spPr>
        <a:xfrm>
          <a:off x="3133725" y="4667250"/>
          <a:ext cx="523875" cy="142875"/>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22</xdr:row>
      <xdr:rowOff>9525</xdr:rowOff>
    </xdr:from>
    <xdr:to>
      <xdr:col>4</xdr:col>
      <xdr:colOff>76200</xdr:colOff>
      <xdr:row>22</xdr:row>
      <xdr:rowOff>161925</xdr:rowOff>
    </xdr:to>
    <xdr:sp>
      <xdr:nvSpPr>
        <xdr:cNvPr id="126" name="Freeform 424"/>
        <xdr:cNvSpPr>
          <a:spLocks/>
        </xdr:cNvSpPr>
      </xdr:nvSpPr>
      <xdr:spPr>
        <a:xfrm>
          <a:off x="3028950" y="4886325"/>
          <a:ext cx="514350" cy="161925"/>
        </a:xfrm>
        <a:custGeom>
          <a:pathLst>
            <a:path h="16" w="55">
              <a:moveTo>
                <a:pt x="0" y="0"/>
              </a:moveTo>
              <a:cubicBezTo>
                <a:pt x="11" y="0"/>
                <a:pt x="22" y="1"/>
                <a:pt x="31" y="4"/>
              </a:cubicBezTo>
              <a:cubicBezTo>
                <a:pt x="40" y="7"/>
                <a:pt x="51" y="14"/>
                <a:pt x="55" y="1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22</xdr:row>
      <xdr:rowOff>66675</xdr:rowOff>
    </xdr:from>
    <xdr:to>
      <xdr:col>3</xdr:col>
      <xdr:colOff>857250</xdr:colOff>
      <xdr:row>25</xdr:row>
      <xdr:rowOff>9525</xdr:rowOff>
    </xdr:to>
    <xdr:sp>
      <xdr:nvSpPr>
        <xdr:cNvPr id="127" name="Line 425"/>
        <xdr:cNvSpPr>
          <a:spLocks/>
        </xdr:cNvSpPr>
      </xdr:nvSpPr>
      <xdr:spPr>
        <a:xfrm flipV="1">
          <a:off x="3133725" y="4943475"/>
          <a:ext cx="228600" cy="5619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36</xdr:row>
      <xdr:rowOff>28575</xdr:rowOff>
    </xdr:from>
    <xdr:to>
      <xdr:col>7</xdr:col>
      <xdr:colOff>933450</xdr:colOff>
      <xdr:row>37</xdr:row>
      <xdr:rowOff>38100</xdr:rowOff>
    </xdr:to>
    <xdr:sp>
      <xdr:nvSpPr>
        <xdr:cNvPr id="128" name="Rectangle 438"/>
        <xdr:cNvSpPr>
          <a:spLocks/>
        </xdr:cNvSpPr>
      </xdr:nvSpPr>
      <xdr:spPr>
        <a:xfrm>
          <a:off x="6905625" y="7639050"/>
          <a:ext cx="457200" cy="2000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Berm</a:t>
          </a:r>
        </a:p>
      </xdr:txBody>
    </xdr:sp>
    <xdr:clientData/>
  </xdr:twoCellAnchor>
  <xdr:twoCellAnchor>
    <xdr:from>
      <xdr:col>5</xdr:col>
      <xdr:colOff>914400</xdr:colOff>
      <xdr:row>41</xdr:row>
      <xdr:rowOff>114300</xdr:rowOff>
    </xdr:from>
    <xdr:to>
      <xdr:col>6</xdr:col>
      <xdr:colOff>914400</xdr:colOff>
      <xdr:row>41</xdr:row>
      <xdr:rowOff>114300</xdr:rowOff>
    </xdr:to>
    <xdr:sp>
      <xdr:nvSpPr>
        <xdr:cNvPr id="129" name="Line 439"/>
        <xdr:cNvSpPr>
          <a:spLocks/>
        </xdr:cNvSpPr>
      </xdr:nvSpPr>
      <xdr:spPr>
        <a:xfrm>
          <a:off x="5419725" y="8658225"/>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37</xdr:row>
      <xdr:rowOff>28575</xdr:rowOff>
    </xdr:from>
    <xdr:to>
      <xdr:col>7</xdr:col>
      <xdr:colOff>400050</xdr:colOff>
      <xdr:row>41</xdr:row>
      <xdr:rowOff>114300</xdr:rowOff>
    </xdr:to>
    <xdr:sp>
      <xdr:nvSpPr>
        <xdr:cNvPr id="130" name="Line 440"/>
        <xdr:cNvSpPr>
          <a:spLocks/>
        </xdr:cNvSpPr>
      </xdr:nvSpPr>
      <xdr:spPr>
        <a:xfrm flipV="1">
          <a:off x="6381750" y="7829550"/>
          <a:ext cx="447675" cy="828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37</xdr:row>
      <xdr:rowOff>28575</xdr:rowOff>
    </xdr:from>
    <xdr:to>
      <xdr:col>5</xdr:col>
      <xdr:colOff>914400</xdr:colOff>
      <xdr:row>41</xdr:row>
      <xdr:rowOff>114300</xdr:rowOff>
    </xdr:to>
    <xdr:sp>
      <xdr:nvSpPr>
        <xdr:cNvPr id="131" name="Line 441"/>
        <xdr:cNvSpPr>
          <a:spLocks/>
        </xdr:cNvSpPr>
      </xdr:nvSpPr>
      <xdr:spPr>
        <a:xfrm flipH="1" flipV="1">
          <a:off x="5019675" y="7829550"/>
          <a:ext cx="400050" cy="828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38</xdr:row>
      <xdr:rowOff>76200</xdr:rowOff>
    </xdr:from>
    <xdr:to>
      <xdr:col>5</xdr:col>
      <xdr:colOff>628650</xdr:colOff>
      <xdr:row>38</xdr:row>
      <xdr:rowOff>76200</xdr:rowOff>
    </xdr:to>
    <xdr:sp>
      <xdr:nvSpPr>
        <xdr:cNvPr id="132" name="Line 442"/>
        <xdr:cNvSpPr>
          <a:spLocks/>
        </xdr:cNvSpPr>
      </xdr:nvSpPr>
      <xdr:spPr>
        <a:xfrm flipH="1">
          <a:off x="4829175" y="8058150"/>
          <a:ext cx="304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38</xdr:row>
      <xdr:rowOff>76200</xdr:rowOff>
    </xdr:from>
    <xdr:to>
      <xdr:col>7</xdr:col>
      <xdr:colOff>590550</xdr:colOff>
      <xdr:row>38</xdr:row>
      <xdr:rowOff>76200</xdr:rowOff>
    </xdr:to>
    <xdr:sp>
      <xdr:nvSpPr>
        <xdr:cNvPr id="133" name="Line 443"/>
        <xdr:cNvSpPr>
          <a:spLocks/>
        </xdr:cNvSpPr>
      </xdr:nvSpPr>
      <xdr:spPr>
        <a:xfrm>
          <a:off x="6705600" y="8058150"/>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38</xdr:row>
      <xdr:rowOff>76200</xdr:rowOff>
    </xdr:from>
    <xdr:to>
      <xdr:col>5</xdr:col>
      <xdr:colOff>847725</xdr:colOff>
      <xdr:row>42</xdr:row>
      <xdr:rowOff>123825</xdr:rowOff>
    </xdr:to>
    <xdr:sp>
      <xdr:nvSpPr>
        <xdr:cNvPr id="134" name="Line 444"/>
        <xdr:cNvSpPr>
          <a:spLocks/>
        </xdr:cNvSpPr>
      </xdr:nvSpPr>
      <xdr:spPr>
        <a:xfrm>
          <a:off x="4924425" y="8058150"/>
          <a:ext cx="42862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42</xdr:row>
      <xdr:rowOff>123825</xdr:rowOff>
    </xdr:from>
    <xdr:to>
      <xdr:col>7</xdr:col>
      <xdr:colOff>47625</xdr:colOff>
      <xdr:row>42</xdr:row>
      <xdr:rowOff>123825</xdr:rowOff>
    </xdr:to>
    <xdr:sp>
      <xdr:nvSpPr>
        <xdr:cNvPr id="135" name="Line 445"/>
        <xdr:cNvSpPr>
          <a:spLocks/>
        </xdr:cNvSpPr>
      </xdr:nvSpPr>
      <xdr:spPr>
        <a:xfrm>
          <a:off x="5353050" y="8858250"/>
          <a:ext cx="1123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38</xdr:row>
      <xdr:rowOff>76200</xdr:rowOff>
    </xdr:from>
    <xdr:to>
      <xdr:col>7</xdr:col>
      <xdr:colOff>495300</xdr:colOff>
      <xdr:row>42</xdr:row>
      <xdr:rowOff>123825</xdr:rowOff>
    </xdr:to>
    <xdr:sp>
      <xdr:nvSpPr>
        <xdr:cNvPr id="136" name="Line 446"/>
        <xdr:cNvSpPr>
          <a:spLocks/>
        </xdr:cNvSpPr>
      </xdr:nvSpPr>
      <xdr:spPr>
        <a:xfrm flipV="1">
          <a:off x="6467475" y="8058150"/>
          <a:ext cx="457200"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37</xdr:row>
      <xdr:rowOff>28575</xdr:rowOff>
    </xdr:from>
    <xdr:to>
      <xdr:col>5</xdr:col>
      <xdr:colOff>514350</xdr:colOff>
      <xdr:row>37</xdr:row>
      <xdr:rowOff>28575</xdr:rowOff>
    </xdr:to>
    <xdr:sp>
      <xdr:nvSpPr>
        <xdr:cNvPr id="137" name="Line 447"/>
        <xdr:cNvSpPr>
          <a:spLocks/>
        </xdr:cNvSpPr>
      </xdr:nvSpPr>
      <xdr:spPr>
        <a:xfrm flipH="1">
          <a:off x="4686300" y="7829550"/>
          <a:ext cx="333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37</xdr:row>
      <xdr:rowOff>28575</xdr:rowOff>
    </xdr:from>
    <xdr:to>
      <xdr:col>7</xdr:col>
      <xdr:colOff>933450</xdr:colOff>
      <xdr:row>37</xdr:row>
      <xdr:rowOff>28575</xdr:rowOff>
    </xdr:to>
    <xdr:sp>
      <xdr:nvSpPr>
        <xdr:cNvPr id="138" name="Line 448"/>
        <xdr:cNvSpPr>
          <a:spLocks/>
        </xdr:cNvSpPr>
      </xdr:nvSpPr>
      <xdr:spPr>
        <a:xfrm>
          <a:off x="6829425" y="7829550"/>
          <a:ext cx="533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38</xdr:row>
      <xdr:rowOff>85725</xdr:rowOff>
    </xdr:from>
    <xdr:to>
      <xdr:col>6</xdr:col>
      <xdr:colOff>38100</xdr:colOff>
      <xdr:row>38</xdr:row>
      <xdr:rowOff>85725</xdr:rowOff>
    </xdr:to>
    <xdr:sp>
      <xdr:nvSpPr>
        <xdr:cNvPr id="139" name="Line 449"/>
        <xdr:cNvSpPr>
          <a:spLocks/>
        </xdr:cNvSpPr>
      </xdr:nvSpPr>
      <xdr:spPr>
        <a:xfrm>
          <a:off x="5172075" y="8067675"/>
          <a:ext cx="333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35</xdr:row>
      <xdr:rowOff>152400</xdr:rowOff>
    </xdr:from>
    <xdr:to>
      <xdr:col>5</xdr:col>
      <xdr:colOff>247650</xdr:colOff>
      <xdr:row>37</xdr:row>
      <xdr:rowOff>28575</xdr:rowOff>
    </xdr:to>
    <xdr:sp>
      <xdr:nvSpPr>
        <xdr:cNvPr id="140" name="Line 450"/>
        <xdr:cNvSpPr>
          <a:spLocks/>
        </xdr:cNvSpPr>
      </xdr:nvSpPr>
      <xdr:spPr>
        <a:xfrm flipV="1">
          <a:off x="4752975" y="7581900"/>
          <a:ext cx="0" cy="2476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38</xdr:row>
      <xdr:rowOff>85725</xdr:rowOff>
    </xdr:from>
    <xdr:to>
      <xdr:col>6</xdr:col>
      <xdr:colOff>19050</xdr:colOff>
      <xdr:row>41</xdr:row>
      <xdr:rowOff>114300</xdr:rowOff>
    </xdr:to>
    <xdr:sp>
      <xdr:nvSpPr>
        <xdr:cNvPr id="141" name="Line 451"/>
        <xdr:cNvSpPr>
          <a:spLocks/>
        </xdr:cNvSpPr>
      </xdr:nvSpPr>
      <xdr:spPr>
        <a:xfrm>
          <a:off x="5486400" y="8067675"/>
          <a:ext cx="0" cy="5905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39</xdr:row>
      <xdr:rowOff>114300</xdr:rowOff>
    </xdr:from>
    <xdr:to>
      <xdr:col>5</xdr:col>
      <xdr:colOff>123825</xdr:colOff>
      <xdr:row>39</xdr:row>
      <xdr:rowOff>114300</xdr:rowOff>
    </xdr:to>
    <xdr:sp>
      <xdr:nvSpPr>
        <xdr:cNvPr id="142" name="Line 452"/>
        <xdr:cNvSpPr>
          <a:spLocks/>
        </xdr:cNvSpPr>
      </xdr:nvSpPr>
      <xdr:spPr>
        <a:xfrm>
          <a:off x="4524375" y="8277225"/>
          <a:ext cx="104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904875</xdr:colOff>
      <xdr:row>43</xdr:row>
      <xdr:rowOff>47625</xdr:rowOff>
    </xdr:from>
    <xdr:to>
      <xdr:col>5</xdr:col>
      <xdr:colOff>904875</xdr:colOff>
      <xdr:row>44</xdr:row>
      <xdr:rowOff>47625</xdr:rowOff>
    </xdr:to>
    <xdr:sp>
      <xdr:nvSpPr>
        <xdr:cNvPr id="143" name="Line 453"/>
        <xdr:cNvSpPr>
          <a:spLocks/>
        </xdr:cNvSpPr>
      </xdr:nvSpPr>
      <xdr:spPr>
        <a:xfrm>
          <a:off x="5410200" y="8972550"/>
          <a:ext cx="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43</xdr:row>
      <xdr:rowOff>47625</xdr:rowOff>
    </xdr:from>
    <xdr:to>
      <xdr:col>6</xdr:col>
      <xdr:colOff>923925</xdr:colOff>
      <xdr:row>44</xdr:row>
      <xdr:rowOff>57150</xdr:rowOff>
    </xdr:to>
    <xdr:sp>
      <xdr:nvSpPr>
        <xdr:cNvPr id="144" name="Line 454"/>
        <xdr:cNvSpPr>
          <a:spLocks/>
        </xdr:cNvSpPr>
      </xdr:nvSpPr>
      <xdr:spPr>
        <a:xfrm>
          <a:off x="6391275" y="897255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914400</xdr:colOff>
      <xdr:row>44</xdr:row>
      <xdr:rowOff>9525</xdr:rowOff>
    </xdr:from>
    <xdr:to>
      <xdr:col>6</xdr:col>
      <xdr:colOff>923925</xdr:colOff>
      <xdr:row>44</xdr:row>
      <xdr:rowOff>9525</xdr:rowOff>
    </xdr:to>
    <xdr:sp>
      <xdr:nvSpPr>
        <xdr:cNvPr id="145" name="Line 455"/>
        <xdr:cNvSpPr>
          <a:spLocks/>
        </xdr:cNvSpPr>
      </xdr:nvSpPr>
      <xdr:spPr>
        <a:xfrm>
          <a:off x="5419725" y="9124950"/>
          <a:ext cx="9715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38</xdr:row>
      <xdr:rowOff>152400</xdr:rowOff>
    </xdr:from>
    <xdr:to>
      <xdr:col>5</xdr:col>
      <xdr:colOff>685800</xdr:colOff>
      <xdr:row>39</xdr:row>
      <xdr:rowOff>38100</xdr:rowOff>
    </xdr:to>
    <xdr:sp>
      <xdr:nvSpPr>
        <xdr:cNvPr id="146" name="Oval 456"/>
        <xdr:cNvSpPr>
          <a:spLocks/>
        </xdr:cNvSpPr>
      </xdr:nvSpPr>
      <xdr:spPr>
        <a:xfrm>
          <a:off x="5057775" y="8134350"/>
          <a:ext cx="133350" cy="66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39</xdr:row>
      <xdr:rowOff>38100</xdr:rowOff>
    </xdr:from>
    <xdr:to>
      <xdr:col>5</xdr:col>
      <xdr:colOff>657225</xdr:colOff>
      <xdr:row>39</xdr:row>
      <xdr:rowOff>171450</xdr:rowOff>
    </xdr:to>
    <xdr:sp>
      <xdr:nvSpPr>
        <xdr:cNvPr id="147" name="Oval 457"/>
        <xdr:cNvSpPr>
          <a:spLocks/>
        </xdr:cNvSpPr>
      </xdr:nvSpPr>
      <xdr:spPr>
        <a:xfrm>
          <a:off x="5057775" y="8201025"/>
          <a:ext cx="10477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38</xdr:row>
      <xdr:rowOff>76200</xdr:rowOff>
    </xdr:from>
    <xdr:to>
      <xdr:col>5</xdr:col>
      <xdr:colOff>552450</xdr:colOff>
      <xdr:row>39</xdr:row>
      <xdr:rowOff>0</xdr:rowOff>
    </xdr:to>
    <xdr:sp>
      <xdr:nvSpPr>
        <xdr:cNvPr id="148" name="Oval 458"/>
        <xdr:cNvSpPr>
          <a:spLocks/>
        </xdr:cNvSpPr>
      </xdr:nvSpPr>
      <xdr:spPr>
        <a:xfrm>
          <a:off x="4972050" y="8058150"/>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39</xdr:row>
      <xdr:rowOff>38100</xdr:rowOff>
    </xdr:from>
    <xdr:to>
      <xdr:col>5</xdr:col>
      <xdr:colOff>723900</xdr:colOff>
      <xdr:row>39</xdr:row>
      <xdr:rowOff>114300</xdr:rowOff>
    </xdr:to>
    <xdr:sp>
      <xdr:nvSpPr>
        <xdr:cNvPr id="149" name="Oval 459"/>
        <xdr:cNvSpPr>
          <a:spLocks/>
        </xdr:cNvSpPr>
      </xdr:nvSpPr>
      <xdr:spPr>
        <a:xfrm>
          <a:off x="5153025" y="82010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39</xdr:row>
      <xdr:rowOff>123825</xdr:rowOff>
    </xdr:from>
    <xdr:to>
      <xdr:col>5</xdr:col>
      <xdr:colOff>695325</xdr:colOff>
      <xdr:row>40</xdr:row>
      <xdr:rowOff>95250</xdr:rowOff>
    </xdr:to>
    <xdr:sp>
      <xdr:nvSpPr>
        <xdr:cNvPr id="150" name="Oval 460"/>
        <xdr:cNvSpPr>
          <a:spLocks/>
        </xdr:cNvSpPr>
      </xdr:nvSpPr>
      <xdr:spPr>
        <a:xfrm>
          <a:off x="5124450" y="8286750"/>
          <a:ext cx="762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39</xdr:row>
      <xdr:rowOff>114300</xdr:rowOff>
    </xdr:from>
    <xdr:to>
      <xdr:col>5</xdr:col>
      <xdr:colOff>762000</xdr:colOff>
      <xdr:row>40</xdr:row>
      <xdr:rowOff>76200</xdr:rowOff>
    </xdr:to>
    <xdr:sp>
      <xdr:nvSpPr>
        <xdr:cNvPr id="151" name="Oval 461"/>
        <xdr:cNvSpPr>
          <a:spLocks/>
        </xdr:cNvSpPr>
      </xdr:nvSpPr>
      <xdr:spPr>
        <a:xfrm>
          <a:off x="5191125" y="8277225"/>
          <a:ext cx="762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40</xdr:row>
      <xdr:rowOff>85725</xdr:rowOff>
    </xdr:from>
    <xdr:to>
      <xdr:col>5</xdr:col>
      <xdr:colOff>752475</xdr:colOff>
      <xdr:row>41</xdr:row>
      <xdr:rowOff>9525</xdr:rowOff>
    </xdr:to>
    <xdr:sp>
      <xdr:nvSpPr>
        <xdr:cNvPr id="152" name="Oval 462"/>
        <xdr:cNvSpPr>
          <a:spLocks/>
        </xdr:cNvSpPr>
      </xdr:nvSpPr>
      <xdr:spPr>
        <a:xfrm>
          <a:off x="5153025" y="8439150"/>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40</xdr:row>
      <xdr:rowOff>57150</xdr:rowOff>
    </xdr:from>
    <xdr:to>
      <xdr:col>5</xdr:col>
      <xdr:colOff>819150</xdr:colOff>
      <xdr:row>40</xdr:row>
      <xdr:rowOff>142875</xdr:rowOff>
    </xdr:to>
    <xdr:sp>
      <xdr:nvSpPr>
        <xdr:cNvPr id="153" name="Oval 463"/>
        <xdr:cNvSpPr>
          <a:spLocks/>
        </xdr:cNvSpPr>
      </xdr:nvSpPr>
      <xdr:spPr>
        <a:xfrm>
          <a:off x="5238750" y="8410575"/>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40</xdr:row>
      <xdr:rowOff>161925</xdr:rowOff>
    </xdr:from>
    <xdr:to>
      <xdr:col>5</xdr:col>
      <xdr:colOff>809625</xdr:colOff>
      <xdr:row>41</xdr:row>
      <xdr:rowOff>133350</xdr:rowOff>
    </xdr:to>
    <xdr:sp>
      <xdr:nvSpPr>
        <xdr:cNvPr id="154" name="Oval 464"/>
        <xdr:cNvSpPr>
          <a:spLocks/>
        </xdr:cNvSpPr>
      </xdr:nvSpPr>
      <xdr:spPr>
        <a:xfrm>
          <a:off x="5229225" y="8515350"/>
          <a:ext cx="8572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40</xdr:row>
      <xdr:rowOff>133350</xdr:rowOff>
    </xdr:from>
    <xdr:to>
      <xdr:col>5</xdr:col>
      <xdr:colOff>866775</xdr:colOff>
      <xdr:row>41</xdr:row>
      <xdr:rowOff>28575</xdr:rowOff>
    </xdr:to>
    <xdr:sp>
      <xdr:nvSpPr>
        <xdr:cNvPr id="155" name="Oval 465"/>
        <xdr:cNvSpPr>
          <a:spLocks/>
        </xdr:cNvSpPr>
      </xdr:nvSpPr>
      <xdr:spPr>
        <a:xfrm>
          <a:off x="5295900" y="848677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41</xdr:row>
      <xdr:rowOff>123825</xdr:rowOff>
    </xdr:from>
    <xdr:to>
      <xdr:col>5</xdr:col>
      <xdr:colOff>866775</xdr:colOff>
      <xdr:row>42</xdr:row>
      <xdr:rowOff>47625</xdr:rowOff>
    </xdr:to>
    <xdr:sp>
      <xdr:nvSpPr>
        <xdr:cNvPr id="156" name="Oval 466"/>
        <xdr:cNvSpPr>
          <a:spLocks/>
        </xdr:cNvSpPr>
      </xdr:nvSpPr>
      <xdr:spPr>
        <a:xfrm>
          <a:off x="5286375" y="8667750"/>
          <a:ext cx="857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800100</xdr:colOff>
      <xdr:row>41</xdr:row>
      <xdr:rowOff>38100</xdr:rowOff>
    </xdr:from>
    <xdr:to>
      <xdr:col>5</xdr:col>
      <xdr:colOff>895350</xdr:colOff>
      <xdr:row>41</xdr:row>
      <xdr:rowOff>161925</xdr:rowOff>
    </xdr:to>
    <xdr:sp>
      <xdr:nvSpPr>
        <xdr:cNvPr id="157" name="Oval 467"/>
        <xdr:cNvSpPr>
          <a:spLocks/>
        </xdr:cNvSpPr>
      </xdr:nvSpPr>
      <xdr:spPr>
        <a:xfrm>
          <a:off x="5305425" y="8582025"/>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828675</xdr:colOff>
      <xdr:row>42</xdr:row>
      <xdr:rowOff>0</xdr:rowOff>
    </xdr:from>
    <xdr:to>
      <xdr:col>5</xdr:col>
      <xdr:colOff>923925</xdr:colOff>
      <xdr:row>42</xdr:row>
      <xdr:rowOff>123825</xdr:rowOff>
    </xdr:to>
    <xdr:sp>
      <xdr:nvSpPr>
        <xdr:cNvPr id="158" name="Oval 468"/>
        <xdr:cNvSpPr>
          <a:spLocks/>
        </xdr:cNvSpPr>
      </xdr:nvSpPr>
      <xdr:spPr>
        <a:xfrm>
          <a:off x="5334000" y="8734425"/>
          <a:ext cx="952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885825</xdr:colOff>
      <xdr:row>41</xdr:row>
      <xdr:rowOff>114300</xdr:rowOff>
    </xdr:from>
    <xdr:to>
      <xdr:col>6</xdr:col>
      <xdr:colOff>57150</xdr:colOff>
      <xdr:row>42</xdr:row>
      <xdr:rowOff>28575</xdr:rowOff>
    </xdr:to>
    <xdr:sp>
      <xdr:nvSpPr>
        <xdr:cNvPr id="159" name="Oval 469"/>
        <xdr:cNvSpPr>
          <a:spLocks/>
        </xdr:cNvSpPr>
      </xdr:nvSpPr>
      <xdr:spPr>
        <a:xfrm>
          <a:off x="5391150" y="8658225"/>
          <a:ext cx="1333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904875</xdr:colOff>
      <xdr:row>42</xdr:row>
      <xdr:rowOff>19050</xdr:rowOff>
    </xdr:from>
    <xdr:to>
      <xdr:col>6</xdr:col>
      <xdr:colOff>47625</xdr:colOff>
      <xdr:row>42</xdr:row>
      <xdr:rowOff>114300</xdr:rowOff>
    </xdr:to>
    <xdr:sp>
      <xdr:nvSpPr>
        <xdr:cNvPr id="160" name="Oval 470"/>
        <xdr:cNvSpPr>
          <a:spLocks/>
        </xdr:cNvSpPr>
      </xdr:nvSpPr>
      <xdr:spPr>
        <a:xfrm>
          <a:off x="5410200" y="87534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42</xdr:row>
      <xdr:rowOff>28575</xdr:rowOff>
    </xdr:from>
    <xdr:to>
      <xdr:col>6</xdr:col>
      <xdr:colOff>171450</xdr:colOff>
      <xdr:row>42</xdr:row>
      <xdr:rowOff>114300</xdr:rowOff>
    </xdr:to>
    <xdr:sp>
      <xdr:nvSpPr>
        <xdr:cNvPr id="161" name="Oval 471"/>
        <xdr:cNvSpPr>
          <a:spLocks/>
        </xdr:cNvSpPr>
      </xdr:nvSpPr>
      <xdr:spPr>
        <a:xfrm>
          <a:off x="5505450" y="8763000"/>
          <a:ext cx="13335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41</xdr:row>
      <xdr:rowOff>114300</xdr:rowOff>
    </xdr:from>
    <xdr:to>
      <xdr:col>6</xdr:col>
      <xdr:colOff>171450</xdr:colOff>
      <xdr:row>42</xdr:row>
      <xdr:rowOff>28575</xdr:rowOff>
    </xdr:to>
    <xdr:sp>
      <xdr:nvSpPr>
        <xdr:cNvPr id="162" name="Oval 472"/>
        <xdr:cNvSpPr>
          <a:spLocks/>
        </xdr:cNvSpPr>
      </xdr:nvSpPr>
      <xdr:spPr>
        <a:xfrm>
          <a:off x="5505450" y="8658225"/>
          <a:ext cx="1333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41</xdr:row>
      <xdr:rowOff>114300</xdr:rowOff>
    </xdr:from>
    <xdr:to>
      <xdr:col>6</xdr:col>
      <xdr:colOff>266700</xdr:colOff>
      <xdr:row>42</xdr:row>
      <xdr:rowOff>28575</xdr:rowOff>
    </xdr:to>
    <xdr:sp>
      <xdr:nvSpPr>
        <xdr:cNvPr id="163" name="Oval 473"/>
        <xdr:cNvSpPr>
          <a:spLocks/>
        </xdr:cNvSpPr>
      </xdr:nvSpPr>
      <xdr:spPr>
        <a:xfrm>
          <a:off x="5629275" y="86582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42</xdr:row>
      <xdr:rowOff>19050</xdr:rowOff>
    </xdr:from>
    <xdr:to>
      <xdr:col>6</xdr:col>
      <xdr:colOff>323850</xdr:colOff>
      <xdr:row>42</xdr:row>
      <xdr:rowOff>123825</xdr:rowOff>
    </xdr:to>
    <xdr:sp>
      <xdr:nvSpPr>
        <xdr:cNvPr id="164" name="Oval 474"/>
        <xdr:cNvSpPr>
          <a:spLocks/>
        </xdr:cNvSpPr>
      </xdr:nvSpPr>
      <xdr:spPr>
        <a:xfrm>
          <a:off x="5638800" y="8753475"/>
          <a:ext cx="1524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41</xdr:row>
      <xdr:rowOff>114300</xdr:rowOff>
    </xdr:from>
    <xdr:to>
      <xdr:col>6</xdr:col>
      <xdr:colOff>352425</xdr:colOff>
      <xdr:row>42</xdr:row>
      <xdr:rowOff>28575</xdr:rowOff>
    </xdr:to>
    <xdr:sp>
      <xdr:nvSpPr>
        <xdr:cNvPr id="165" name="Oval 475"/>
        <xdr:cNvSpPr>
          <a:spLocks/>
        </xdr:cNvSpPr>
      </xdr:nvSpPr>
      <xdr:spPr>
        <a:xfrm>
          <a:off x="5743575" y="8658225"/>
          <a:ext cx="762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42</xdr:row>
      <xdr:rowOff>0</xdr:rowOff>
    </xdr:from>
    <xdr:to>
      <xdr:col>6</xdr:col>
      <xdr:colOff>466725</xdr:colOff>
      <xdr:row>42</xdr:row>
      <xdr:rowOff>123825</xdr:rowOff>
    </xdr:to>
    <xdr:sp>
      <xdr:nvSpPr>
        <xdr:cNvPr id="166" name="Oval 476"/>
        <xdr:cNvSpPr>
          <a:spLocks/>
        </xdr:cNvSpPr>
      </xdr:nvSpPr>
      <xdr:spPr>
        <a:xfrm>
          <a:off x="5781675" y="8734425"/>
          <a:ext cx="1524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41</xdr:row>
      <xdr:rowOff>114300</xdr:rowOff>
    </xdr:from>
    <xdr:to>
      <xdr:col>6</xdr:col>
      <xdr:colOff>466725</xdr:colOff>
      <xdr:row>42</xdr:row>
      <xdr:rowOff>0</xdr:rowOff>
    </xdr:to>
    <xdr:sp>
      <xdr:nvSpPr>
        <xdr:cNvPr id="167" name="Oval 477"/>
        <xdr:cNvSpPr>
          <a:spLocks/>
        </xdr:cNvSpPr>
      </xdr:nvSpPr>
      <xdr:spPr>
        <a:xfrm>
          <a:off x="5829300" y="8658225"/>
          <a:ext cx="1047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41</xdr:row>
      <xdr:rowOff>123825</xdr:rowOff>
    </xdr:from>
    <xdr:to>
      <xdr:col>6</xdr:col>
      <xdr:colOff>561975</xdr:colOff>
      <xdr:row>42</xdr:row>
      <xdr:rowOff>123825</xdr:rowOff>
    </xdr:to>
    <xdr:sp>
      <xdr:nvSpPr>
        <xdr:cNvPr id="168" name="Oval 478"/>
        <xdr:cNvSpPr>
          <a:spLocks/>
        </xdr:cNvSpPr>
      </xdr:nvSpPr>
      <xdr:spPr>
        <a:xfrm>
          <a:off x="5924550" y="8667750"/>
          <a:ext cx="1047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41</xdr:row>
      <xdr:rowOff>19050</xdr:rowOff>
    </xdr:from>
    <xdr:to>
      <xdr:col>7</xdr:col>
      <xdr:colOff>66675</xdr:colOff>
      <xdr:row>42</xdr:row>
      <xdr:rowOff>28575</xdr:rowOff>
    </xdr:to>
    <xdr:sp>
      <xdr:nvSpPr>
        <xdr:cNvPr id="169" name="Oval 479"/>
        <xdr:cNvSpPr>
          <a:spLocks/>
        </xdr:cNvSpPr>
      </xdr:nvSpPr>
      <xdr:spPr>
        <a:xfrm>
          <a:off x="6400800" y="8562975"/>
          <a:ext cx="9525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42</xdr:row>
      <xdr:rowOff>38100</xdr:rowOff>
    </xdr:from>
    <xdr:to>
      <xdr:col>6</xdr:col>
      <xdr:colOff>628650</xdr:colOff>
      <xdr:row>42</xdr:row>
      <xdr:rowOff>123825</xdr:rowOff>
    </xdr:to>
    <xdr:sp>
      <xdr:nvSpPr>
        <xdr:cNvPr id="170" name="Oval 480"/>
        <xdr:cNvSpPr>
          <a:spLocks/>
        </xdr:cNvSpPr>
      </xdr:nvSpPr>
      <xdr:spPr>
        <a:xfrm>
          <a:off x="6019800" y="87725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41</xdr:row>
      <xdr:rowOff>114300</xdr:rowOff>
    </xdr:from>
    <xdr:to>
      <xdr:col>6</xdr:col>
      <xdr:colOff>647700</xdr:colOff>
      <xdr:row>42</xdr:row>
      <xdr:rowOff>19050</xdr:rowOff>
    </xdr:to>
    <xdr:sp>
      <xdr:nvSpPr>
        <xdr:cNvPr id="171" name="Oval 481"/>
        <xdr:cNvSpPr>
          <a:spLocks/>
        </xdr:cNvSpPr>
      </xdr:nvSpPr>
      <xdr:spPr>
        <a:xfrm>
          <a:off x="6019800" y="86582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42</xdr:row>
      <xdr:rowOff>0</xdr:rowOff>
    </xdr:from>
    <xdr:to>
      <xdr:col>6</xdr:col>
      <xdr:colOff>752475</xdr:colOff>
      <xdr:row>42</xdr:row>
      <xdr:rowOff>114300</xdr:rowOff>
    </xdr:to>
    <xdr:sp>
      <xdr:nvSpPr>
        <xdr:cNvPr id="172" name="Oval 482"/>
        <xdr:cNvSpPr>
          <a:spLocks/>
        </xdr:cNvSpPr>
      </xdr:nvSpPr>
      <xdr:spPr>
        <a:xfrm>
          <a:off x="6057900" y="8734425"/>
          <a:ext cx="1619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41</xdr:row>
      <xdr:rowOff>104775</xdr:rowOff>
    </xdr:from>
    <xdr:to>
      <xdr:col>6</xdr:col>
      <xdr:colOff>809625</xdr:colOff>
      <xdr:row>42</xdr:row>
      <xdr:rowOff>47625</xdr:rowOff>
    </xdr:to>
    <xdr:sp>
      <xdr:nvSpPr>
        <xdr:cNvPr id="173" name="Oval 483"/>
        <xdr:cNvSpPr>
          <a:spLocks/>
        </xdr:cNvSpPr>
      </xdr:nvSpPr>
      <xdr:spPr>
        <a:xfrm>
          <a:off x="6191250" y="8648700"/>
          <a:ext cx="85725"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42</xdr:row>
      <xdr:rowOff>38100</xdr:rowOff>
    </xdr:from>
    <xdr:to>
      <xdr:col>6</xdr:col>
      <xdr:colOff>885825</xdr:colOff>
      <xdr:row>42</xdr:row>
      <xdr:rowOff>123825</xdr:rowOff>
    </xdr:to>
    <xdr:sp>
      <xdr:nvSpPr>
        <xdr:cNvPr id="174" name="Oval 484"/>
        <xdr:cNvSpPr>
          <a:spLocks/>
        </xdr:cNvSpPr>
      </xdr:nvSpPr>
      <xdr:spPr>
        <a:xfrm>
          <a:off x="6210300" y="8772525"/>
          <a:ext cx="1428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41</xdr:row>
      <xdr:rowOff>114300</xdr:rowOff>
    </xdr:from>
    <xdr:to>
      <xdr:col>6</xdr:col>
      <xdr:colOff>733425</xdr:colOff>
      <xdr:row>42</xdr:row>
      <xdr:rowOff>9525</xdr:rowOff>
    </xdr:to>
    <xdr:sp>
      <xdr:nvSpPr>
        <xdr:cNvPr id="175" name="Oval 485"/>
        <xdr:cNvSpPr>
          <a:spLocks/>
        </xdr:cNvSpPr>
      </xdr:nvSpPr>
      <xdr:spPr>
        <a:xfrm>
          <a:off x="6124575" y="8658225"/>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800100</xdr:colOff>
      <xdr:row>41</xdr:row>
      <xdr:rowOff>114300</xdr:rowOff>
    </xdr:from>
    <xdr:to>
      <xdr:col>6</xdr:col>
      <xdr:colOff>933450</xdr:colOff>
      <xdr:row>42</xdr:row>
      <xdr:rowOff>47625</xdr:rowOff>
    </xdr:to>
    <xdr:sp>
      <xdr:nvSpPr>
        <xdr:cNvPr id="176" name="Oval 486"/>
        <xdr:cNvSpPr>
          <a:spLocks/>
        </xdr:cNvSpPr>
      </xdr:nvSpPr>
      <xdr:spPr>
        <a:xfrm>
          <a:off x="6267450" y="8658225"/>
          <a:ext cx="1333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42</xdr:row>
      <xdr:rowOff>0</xdr:rowOff>
    </xdr:from>
    <xdr:to>
      <xdr:col>7</xdr:col>
      <xdr:colOff>85725</xdr:colOff>
      <xdr:row>42</xdr:row>
      <xdr:rowOff>123825</xdr:rowOff>
    </xdr:to>
    <xdr:sp>
      <xdr:nvSpPr>
        <xdr:cNvPr id="177" name="Oval 487"/>
        <xdr:cNvSpPr>
          <a:spLocks/>
        </xdr:cNvSpPr>
      </xdr:nvSpPr>
      <xdr:spPr>
        <a:xfrm>
          <a:off x="6343650" y="8734425"/>
          <a:ext cx="17145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40</xdr:row>
      <xdr:rowOff>104775</xdr:rowOff>
    </xdr:from>
    <xdr:to>
      <xdr:col>7</xdr:col>
      <xdr:colOff>114300</xdr:colOff>
      <xdr:row>41</xdr:row>
      <xdr:rowOff>38100</xdr:rowOff>
    </xdr:to>
    <xdr:sp>
      <xdr:nvSpPr>
        <xdr:cNvPr id="178" name="Oval 488"/>
        <xdr:cNvSpPr>
          <a:spLocks/>
        </xdr:cNvSpPr>
      </xdr:nvSpPr>
      <xdr:spPr>
        <a:xfrm>
          <a:off x="6457950" y="8458200"/>
          <a:ext cx="857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41</xdr:row>
      <xdr:rowOff>28575</xdr:rowOff>
    </xdr:from>
    <xdr:to>
      <xdr:col>7</xdr:col>
      <xdr:colOff>152400</xdr:colOff>
      <xdr:row>42</xdr:row>
      <xdr:rowOff>0</xdr:rowOff>
    </xdr:to>
    <xdr:sp>
      <xdr:nvSpPr>
        <xdr:cNvPr id="179" name="Oval 489"/>
        <xdr:cNvSpPr>
          <a:spLocks/>
        </xdr:cNvSpPr>
      </xdr:nvSpPr>
      <xdr:spPr>
        <a:xfrm>
          <a:off x="6486525" y="8572500"/>
          <a:ext cx="952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133350</xdr:rowOff>
    </xdr:from>
    <xdr:to>
      <xdr:col>7</xdr:col>
      <xdr:colOff>209550</xdr:colOff>
      <xdr:row>41</xdr:row>
      <xdr:rowOff>47625</xdr:rowOff>
    </xdr:to>
    <xdr:sp>
      <xdr:nvSpPr>
        <xdr:cNvPr id="180" name="Oval 490"/>
        <xdr:cNvSpPr>
          <a:spLocks/>
        </xdr:cNvSpPr>
      </xdr:nvSpPr>
      <xdr:spPr>
        <a:xfrm>
          <a:off x="6543675" y="8486775"/>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66675</xdr:rowOff>
    </xdr:from>
    <xdr:to>
      <xdr:col>7</xdr:col>
      <xdr:colOff>171450</xdr:colOff>
      <xdr:row>40</xdr:row>
      <xdr:rowOff>142875</xdr:rowOff>
    </xdr:to>
    <xdr:sp>
      <xdr:nvSpPr>
        <xdr:cNvPr id="181" name="Oval 491"/>
        <xdr:cNvSpPr>
          <a:spLocks/>
        </xdr:cNvSpPr>
      </xdr:nvSpPr>
      <xdr:spPr>
        <a:xfrm>
          <a:off x="6524625" y="84201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39</xdr:row>
      <xdr:rowOff>85725</xdr:rowOff>
    </xdr:from>
    <xdr:to>
      <xdr:col>7</xdr:col>
      <xdr:colOff>285750</xdr:colOff>
      <xdr:row>40</xdr:row>
      <xdr:rowOff>114300</xdr:rowOff>
    </xdr:to>
    <xdr:sp>
      <xdr:nvSpPr>
        <xdr:cNvPr id="182" name="Oval 492"/>
        <xdr:cNvSpPr>
          <a:spLocks/>
        </xdr:cNvSpPr>
      </xdr:nvSpPr>
      <xdr:spPr>
        <a:xfrm>
          <a:off x="6572250" y="8248650"/>
          <a:ext cx="1428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38</xdr:row>
      <xdr:rowOff>142875</xdr:rowOff>
    </xdr:from>
    <xdr:to>
      <xdr:col>7</xdr:col>
      <xdr:colOff>409575</xdr:colOff>
      <xdr:row>39</xdr:row>
      <xdr:rowOff>47625</xdr:rowOff>
    </xdr:to>
    <xdr:sp>
      <xdr:nvSpPr>
        <xdr:cNvPr id="183" name="Oval 493"/>
        <xdr:cNvSpPr>
          <a:spLocks/>
        </xdr:cNvSpPr>
      </xdr:nvSpPr>
      <xdr:spPr>
        <a:xfrm>
          <a:off x="6686550" y="8124825"/>
          <a:ext cx="1524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39</xdr:row>
      <xdr:rowOff>57150</xdr:rowOff>
    </xdr:from>
    <xdr:to>
      <xdr:col>7</xdr:col>
      <xdr:colOff>295275</xdr:colOff>
      <xdr:row>39</xdr:row>
      <xdr:rowOff>133350</xdr:rowOff>
    </xdr:to>
    <xdr:sp>
      <xdr:nvSpPr>
        <xdr:cNvPr id="184" name="Oval 494"/>
        <xdr:cNvSpPr>
          <a:spLocks/>
        </xdr:cNvSpPr>
      </xdr:nvSpPr>
      <xdr:spPr>
        <a:xfrm>
          <a:off x="6648450" y="82200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39</xdr:row>
      <xdr:rowOff>0</xdr:rowOff>
    </xdr:from>
    <xdr:to>
      <xdr:col>7</xdr:col>
      <xdr:colOff>276225</xdr:colOff>
      <xdr:row>39</xdr:row>
      <xdr:rowOff>76200</xdr:rowOff>
    </xdr:to>
    <xdr:sp>
      <xdr:nvSpPr>
        <xdr:cNvPr id="185" name="Oval 495"/>
        <xdr:cNvSpPr>
          <a:spLocks/>
        </xdr:cNvSpPr>
      </xdr:nvSpPr>
      <xdr:spPr>
        <a:xfrm>
          <a:off x="6629400" y="81629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40</xdr:row>
      <xdr:rowOff>85725</xdr:rowOff>
    </xdr:from>
    <xdr:to>
      <xdr:col>7</xdr:col>
      <xdr:colOff>257175</xdr:colOff>
      <xdr:row>40</xdr:row>
      <xdr:rowOff>142875</xdr:rowOff>
    </xdr:to>
    <xdr:sp>
      <xdr:nvSpPr>
        <xdr:cNvPr id="186" name="Oval 496"/>
        <xdr:cNvSpPr>
          <a:spLocks/>
        </xdr:cNvSpPr>
      </xdr:nvSpPr>
      <xdr:spPr>
        <a:xfrm flipH="1">
          <a:off x="6600825" y="8439150"/>
          <a:ext cx="85725" cy="57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39</xdr:row>
      <xdr:rowOff>38100</xdr:rowOff>
    </xdr:from>
    <xdr:to>
      <xdr:col>7</xdr:col>
      <xdr:colOff>390525</xdr:colOff>
      <xdr:row>39</xdr:row>
      <xdr:rowOff>133350</xdr:rowOff>
    </xdr:to>
    <xdr:sp>
      <xdr:nvSpPr>
        <xdr:cNvPr id="187" name="Oval 497"/>
        <xdr:cNvSpPr>
          <a:spLocks/>
        </xdr:cNvSpPr>
      </xdr:nvSpPr>
      <xdr:spPr>
        <a:xfrm>
          <a:off x="6724650" y="82010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41</xdr:row>
      <xdr:rowOff>19050</xdr:rowOff>
    </xdr:from>
    <xdr:to>
      <xdr:col>7</xdr:col>
      <xdr:colOff>590550</xdr:colOff>
      <xdr:row>43</xdr:row>
      <xdr:rowOff>0</xdr:rowOff>
    </xdr:to>
    <xdr:sp>
      <xdr:nvSpPr>
        <xdr:cNvPr id="188" name="Line 498"/>
        <xdr:cNvSpPr>
          <a:spLocks/>
        </xdr:cNvSpPr>
      </xdr:nvSpPr>
      <xdr:spPr>
        <a:xfrm>
          <a:off x="6638925" y="8562975"/>
          <a:ext cx="381000" cy="3619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39</xdr:row>
      <xdr:rowOff>133350</xdr:rowOff>
    </xdr:from>
    <xdr:to>
      <xdr:col>7</xdr:col>
      <xdr:colOff>76200</xdr:colOff>
      <xdr:row>40</xdr:row>
      <xdr:rowOff>66675</xdr:rowOff>
    </xdr:to>
    <xdr:sp>
      <xdr:nvSpPr>
        <xdr:cNvPr id="189" name="Line 499"/>
        <xdr:cNvSpPr>
          <a:spLocks/>
        </xdr:cNvSpPr>
      </xdr:nvSpPr>
      <xdr:spPr>
        <a:xfrm flipH="1" flipV="1">
          <a:off x="6372225" y="8296275"/>
          <a:ext cx="133350" cy="1238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39</xdr:row>
      <xdr:rowOff>123825</xdr:rowOff>
    </xdr:from>
    <xdr:to>
      <xdr:col>5</xdr:col>
      <xdr:colOff>419100</xdr:colOff>
      <xdr:row>41</xdr:row>
      <xdr:rowOff>19050</xdr:rowOff>
    </xdr:to>
    <xdr:sp>
      <xdr:nvSpPr>
        <xdr:cNvPr id="190" name="Line 500"/>
        <xdr:cNvSpPr>
          <a:spLocks/>
        </xdr:cNvSpPr>
      </xdr:nvSpPr>
      <xdr:spPr>
        <a:xfrm flipH="1">
          <a:off x="4924425" y="8286750"/>
          <a:ext cx="0" cy="276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41</xdr:row>
      <xdr:rowOff>19050</xdr:rowOff>
    </xdr:from>
    <xdr:to>
      <xdr:col>5</xdr:col>
      <xdr:colOff>571500</xdr:colOff>
      <xdr:row>41</xdr:row>
      <xdr:rowOff>19050</xdr:rowOff>
    </xdr:to>
    <xdr:sp>
      <xdr:nvSpPr>
        <xdr:cNvPr id="191" name="Line 501"/>
        <xdr:cNvSpPr>
          <a:spLocks/>
        </xdr:cNvSpPr>
      </xdr:nvSpPr>
      <xdr:spPr>
        <a:xfrm>
          <a:off x="4924425" y="8562975"/>
          <a:ext cx="152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40</xdr:row>
      <xdr:rowOff>0</xdr:rowOff>
    </xdr:from>
    <xdr:to>
      <xdr:col>7</xdr:col>
      <xdr:colOff>161925</xdr:colOff>
      <xdr:row>40</xdr:row>
      <xdr:rowOff>76200</xdr:rowOff>
    </xdr:to>
    <xdr:sp>
      <xdr:nvSpPr>
        <xdr:cNvPr id="192" name="Oval 502"/>
        <xdr:cNvSpPr>
          <a:spLocks/>
        </xdr:cNvSpPr>
      </xdr:nvSpPr>
      <xdr:spPr>
        <a:xfrm>
          <a:off x="6515100" y="8353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39</xdr:row>
      <xdr:rowOff>123825</xdr:rowOff>
    </xdr:from>
    <xdr:to>
      <xdr:col>7</xdr:col>
      <xdr:colOff>342900</xdr:colOff>
      <xdr:row>40</xdr:row>
      <xdr:rowOff>19050</xdr:rowOff>
    </xdr:to>
    <xdr:sp>
      <xdr:nvSpPr>
        <xdr:cNvPr id="193" name="Oval 503"/>
        <xdr:cNvSpPr>
          <a:spLocks/>
        </xdr:cNvSpPr>
      </xdr:nvSpPr>
      <xdr:spPr>
        <a:xfrm>
          <a:off x="6696075" y="82867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38</xdr:row>
      <xdr:rowOff>76200</xdr:rowOff>
    </xdr:from>
    <xdr:to>
      <xdr:col>7</xdr:col>
      <xdr:colOff>314325</xdr:colOff>
      <xdr:row>38</xdr:row>
      <xdr:rowOff>161925</xdr:rowOff>
    </xdr:to>
    <xdr:sp>
      <xdr:nvSpPr>
        <xdr:cNvPr id="194" name="Oval 504"/>
        <xdr:cNvSpPr>
          <a:spLocks/>
        </xdr:cNvSpPr>
      </xdr:nvSpPr>
      <xdr:spPr>
        <a:xfrm>
          <a:off x="6677025" y="8058150"/>
          <a:ext cx="6667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38</xdr:row>
      <xdr:rowOff>76200</xdr:rowOff>
    </xdr:from>
    <xdr:to>
      <xdr:col>5</xdr:col>
      <xdr:colOff>619125</xdr:colOff>
      <xdr:row>38</xdr:row>
      <xdr:rowOff>161925</xdr:rowOff>
    </xdr:to>
    <xdr:sp>
      <xdr:nvSpPr>
        <xdr:cNvPr id="195" name="Oval 505"/>
        <xdr:cNvSpPr>
          <a:spLocks/>
        </xdr:cNvSpPr>
      </xdr:nvSpPr>
      <xdr:spPr>
        <a:xfrm>
          <a:off x="5048250" y="8058150"/>
          <a:ext cx="76200"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37</xdr:row>
      <xdr:rowOff>28575</xdr:rowOff>
    </xdr:from>
    <xdr:to>
      <xdr:col>5</xdr:col>
      <xdr:colOff>180975</xdr:colOff>
      <xdr:row>37</xdr:row>
      <xdr:rowOff>28575</xdr:rowOff>
    </xdr:to>
    <xdr:sp>
      <xdr:nvSpPr>
        <xdr:cNvPr id="196" name="Line 508"/>
        <xdr:cNvSpPr>
          <a:spLocks/>
        </xdr:cNvSpPr>
      </xdr:nvSpPr>
      <xdr:spPr>
        <a:xfrm flipH="1">
          <a:off x="3819525" y="7829550"/>
          <a:ext cx="866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39</xdr:row>
      <xdr:rowOff>142875</xdr:rowOff>
    </xdr:from>
    <xdr:to>
      <xdr:col>6</xdr:col>
      <xdr:colOff>228600</xdr:colOff>
      <xdr:row>40</xdr:row>
      <xdr:rowOff>114300</xdr:rowOff>
    </xdr:to>
    <xdr:sp>
      <xdr:nvSpPr>
        <xdr:cNvPr id="197" name="Text Box 514"/>
        <xdr:cNvSpPr txBox="1">
          <a:spLocks noChangeArrowheads="1"/>
        </xdr:cNvSpPr>
      </xdr:nvSpPr>
      <xdr:spPr>
        <a:xfrm>
          <a:off x="5543550" y="8305800"/>
          <a:ext cx="152400" cy="1619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8</xdr:col>
      <xdr:colOff>114300</xdr:colOff>
      <xdr:row>36</xdr:row>
      <xdr:rowOff>152400</xdr:rowOff>
    </xdr:from>
    <xdr:to>
      <xdr:col>8</xdr:col>
      <xdr:colOff>895350</xdr:colOff>
      <xdr:row>37</xdr:row>
      <xdr:rowOff>161925</xdr:rowOff>
    </xdr:to>
    <xdr:sp>
      <xdr:nvSpPr>
        <xdr:cNvPr id="198" name="Text Box 515"/>
        <xdr:cNvSpPr txBox="1">
          <a:spLocks noChangeArrowheads="1"/>
        </xdr:cNvSpPr>
      </xdr:nvSpPr>
      <xdr:spPr>
        <a:xfrm>
          <a:off x="7505700" y="7762875"/>
          <a:ext cx="7810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Geotextile</a:t>
          </a:r>
        </a:p>
      </xdr:txBody>
    </xdr:sp>
    <xdr:clientData/>
  </xdr:twoCellAnchor>
  <xdr:twoCellAnchor>
    <xdr:from>
      <xdr:col>5</xdr:col>
      <xdr:colOff>495300</xdr:colOff>
      <xdr:row>38</xdr:row>
      <xdr:rowOff>152400</xdr:rowOff>
    </xdr:from>
    <xdr:to>
      <xdr:col>5</xdr:col>
      <xdr:colOff>581025</xdr:colOff>
      <xdr:row>39</xdr:row>
      <xdr:rowOff>76200</xdr:rowOff>
    </xdr:to>
    <xdr:sp>
      <xdr:nvSpPr>
        <xdr:cNvPr id="199" name="Oval 516"/>
        <xdr:cNvSpPr>
          <a:spLocks/>
        </xdr:cNvSpPr>
      </xdr:nvSpPr>
      <xdr:spPr>
        <a:xfrm>
          <a:off x="5000625" y="8134350"/>
          <a:ext cx="8572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38</xdr:row>
      <xdr:rowOff>76200</xdr:rowOff>
    </xdr:from>
    <xdr:to>
      <xdr:col>7</xdr:col>
      <xdr:colOff>457200</xdr:colOff>
      <xdr:row>38</xdr:row>
      <xdr:rowOff>161925</xdr:rowOff>
    </xdr:to>
    <xdr:sp>
      <xdr:nvSpPr>
        <xdr:cNvPr id="200" name="Oval 517"/>
        <xdr:cNvSpPr>
          <a:spLocks/>
        </xdr:cNvSpPr>
      </xdr:nvSpPr>
      <xdr:spPr>
        <a:xfrm>
          <a:off x="6800850" y="8058150"/>
          <a:ext cx="85725" cy="85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38</xdr:row>
      <xdr:rowOff>66675</xdr:rowOff>
    </xdr:from>
    <xdr:to>
      <xdr:col>7</xdr:col>
      <xdr:colOff>400050</xdr:colOff>
      <xdr:row>38</xdr:row>
      <xdr:rowOff>142875</xdr:rowOff>
    </xdr:to>
    <xdr:sp>
      <xdr:nvSpPr>
        <xdr:cNvPr id="201" name="Oval 518"/>
        <xdr:cNvSpPr>
          <a:spLocks/>
        </xdr:cNvSpPr>
      </xdr:nvSpPr>
      <xdr:spPr>
        <a:xfrm>
          <a:off x="6734175" y="8048625"/>
          <a:ext cx="9525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44</xdr:row>
      <xdr:rowOff>104775</xdr:rowOff>
    </xdr:from>
    <xdr:to>
      <xdr:col>9</xdr:col>
      <xdr:colOff>409575</xdr:colOff>
      <xdr:row>47</xdr:row>
      <xdr:rowOff>28575</xdr:rowOff>
    </xdr:to>
    <xdr:sp>
      <xdr:nvSpPr>
        <xdr:cNvPr id="202" name="Text Box 531"/>
        <xdr:cNvSpPr txBox="1">
          <a:spLocks noChangeArrowheads="1"/>
        </xdr:cNvSpPr>
      </xdr:nvSpPr>
      <xdr:spPr>
        <a:xfrm>
          <a:off x="7096125" y="9220200"/>
          <a:ext cx="1666875" cy="52387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Use H</a:t>
          </a:r>
          <a:r>
            <a:rPr lang="en-US" cap="none" sz="1100" b="0" i="0" u="none" baseline="-25000">
              <a:solidFill>
                <a:srgbClr val="000000"/>
              </a:solidFill>
              <a:latin typeface="Arial"/>
              <a:ea typeface="Arial"/>
              <a:cs typeface="Arial"/>
            </a:rPr>
            <a:t>p</a:t>
          </a:r>
          <a:r>
            <a:rPr lang="en-US" cap="none" sz="1100" b="0" i="0" u="none" baseline="0">
              <a:solidFill>
                <a:srgbClr val="000000"/>
              </a:solidFill>
              <a:latin typeface="Arial"/>
              <a:ea typeface="Arial"/>
              <a:cs typeface="Arial"/>
            </a:rPr>
            <a:t> throughout chute but not less than z</a:t>
          </a:r>
          <a:r>
            <a:rPr lang="en-US" cap="none" sz="1100" b="0" i="0" u="none" baseline="-25000">
              <a:solidFill>
                <a:srgbClr val="000000"/>
              </a:solidFill>
              <a:latin typeface="Arial"/>
              <a:ea typeface="Arial"/>
              <a:cs typeface="Arial"/>
            </a:rPr>
            <a:t>2</a:t>
          </a:r>
          <a:r>
            <a:rPr lang="en-US" cap="none" sz="1100" b="0" i="0" u="none" baseline="0">
              <a:solidFill>
                <a:srgbClr val="000000"/>
              </a:solidFill>
              <a:latin typeface="Arial"/>
              <a:ea typeface="Arial"/>
              <a:cs typeface="Arial"/>
            </a:rPr>
            <a:t>.</a:t>
          </a:r>
        </a:p>
      </xdr:txBody>
    </xdr:sp>
    <xdr:clientData/>
  </xdr:twoCellAnchor>
  <xdr:twoCellAnchor>
    <xdr:from>
      <xdr:col>7</xdr:col>
      <xdr:colOff>581025</xdr:colOff>
      <xdr:row>44</xdr:row>
      <xdr:rowOff>123825</xdr:rowOff>
    </xdr:from>
    <xdr:to>
      <xdr:col>7</xdr:col>
      <xdr:colOff>723900</xdr:colOff>
      <xdr:row>45</xdr:row>
      <xdr:rowOff>66675</xdr:rowOff>
    </xdr:to>
    <xdr:sp>
      <xdr:nvSpPr>
        <xdr:cNvPr id="203" name="Text Box 532"/>
        <xdr:cNvSpPr txBox="1">
          <a:spLocks noChangeArrowheads="1"/>
        </xdr:cNvSpPr>
      </xdr:nvSpPr>
      <xdr:spPr>
        <a:xfrm>
          <a:off x="7010400" y="9239250"/>
          <a:ext cx="142875" cy="123825"/>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5</xdr:col>
      <xdr:colOff>666750</xdr:colOff>
      <xdr:row>49</xdr:row>
      <xdr:rowOff>0</xdr:rowOff>
    </xdr:from>
    <xdr:to>
      <xdr:col>6</xdr:col>
      <xdr:colOff>885825</xdr:colOff>
      <xdr:row>49</xdr:row>
      <xdr:rowOff>0</xdr:rowOff>
    </xdr:to>
    <xdr:sp>
      <xdr:nvSpPr>
        <xdr:cNvPr id="204" name="Line 533"/>
        <xdr:cNvSpPr>
          <a:spLocks/>
        </xdr:cNvSpPr>
      </xdr:nvSpPr>
      <xdr:spPr>
        <a:xfrm>
          <a:off x="5172075" y="10086975"/>
          <a:ext cx="118110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49</xdr:row>
      <xdr:rowOff>0</xdr:rowOff>
    </xdr:from>
    <xdr:to>
      <xdr:col>6</xdr:col>
      <xdr:colOff>904875</xdr:colOff>
      <xdr:row>49</xdr:row>
      <xdr:rowOff>0</xdr:rowOff>
    </xdr:to>
    <xdr:sp>
      <xdr:nvSpPr>
        <xdr:cNvPr id="205" name="Line 534"/>
        <xdr:cNvSpPr>
          <a:spLocks/>
        </xdr:cNvSpPr>
      </xdr:nvSpPr>
      <xdr:spPr>
        <a:xfrm>
          <a:off x="5200650" y="10086975"/>
          <a:ext cx="1171575"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26</xdr:row>
      <xdr:rowOff>142875</xdr:rowOff>
    </xdr:from>
    <xdr:to>
      <xdr:col>6</xdr:col>
      <xdr:colOff>657225</xdr:colOff>
      <xdr:row>28</xdr:row>
      <xdr:rowOff>152400</xdr:rowOff>
    </xdr:to>
    <xdr:sp>
      <xdr:nvSpPr>
        <xdr:cNvPr id="206" name="Line 535"/>
        <xdr:cNvSpPr>
          <a:spLocks/>
        </xdr:cNvSpPr>
      </xdr:nvSpPr>
      <xdr:spPr>
        <a:xfrm flipH="1">
          <a:off x="6010275" y="5829300"/>
          <a:ext cx="114300" cy="3905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19050</xdr:rowOff>
    </xdr:from>
    <xdr:to>
      <xdr:col>6</xdr:col>
      <xdr:colOff>666750</xdr:colOff>
      <xdr:row>26</xdr:row>
      <xdr:rowOff>152400</xdr:rowOff>
    </xdr:to>
    <xdr:sp>
      <xdr:nvSpPr>
        <xdr:cNvPr id="207" name="Freeform 536"/>
        <xdr:cNvSpPr>
          <a:spLocks/>
        </xdr:cNvSpPr>
      </xdr:nvSpPr>
      <xdr:spPr>
        <a:xfrm flipH="1">
          <a:off x="5934075" y="5705475"/>
          <a:ext cx="200025" cy="133350"/>
        </a:xfrm>
        <a:custGeom>
          <a:pathLst>
            <a:path h="9" w="18">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20</xdr:row>
      <xdr:rowOff>57150</xdr:rowOff>
    </xdr:from>
    <xdr:to>
      <xdr:col>3</xdr:col>
      <xdr:colOff>647700</xdr:colOff>
      <xdr:row>20</xdr:row>
      <xdr:rowOff>190500</xdr:rowOff>
    </xdr:to>
    <xdr:sp>
      <xdr:nvSpPr>
        <xdr:cNvPr id="208" name="Line 537"/>
        <xdr:cNvSpPr>
          <a:spLocks/>
        </xdr:cNvSpPr>
      </xdr:nvSpPr>
      <xdr:spPr>
        <a:xfrm>
          <a:off x="3124200" y="4514850"/>
          <a:ext cx="28575" cy="1428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19</xdr:row>
      <xdr:rowOff>114300</xdr:rowOff>
    </xdr:from>
    <xdr:to>
      <xdr:col>3</xdr:col>
      <xdr:colOff>781050</xdr:colOff>
      <xdr:row>20</xdr:row>
      <xdr:rowOff>57150</xdr:rowOff>
    </xdr:to>
    <xdr:sp>
      <xdr:nvSpPr>
        <xdr:cNvPr id="209" name="Freeform 538"/>
        <xdr:cNvSpPr>
          <a:spLocks/>
        </xdr:cNvSpPr>
      </xdr:nvSpPr>
      <xdr:spPr>
        <a:xfrm>
          <a:off x="3114675" y="4362450"/>
          <a:ext cx="171450" cy="152400"/>
        </a:xfrm>
        <a:custGeom>
          <a:pathLst>
            <a:path h="9" w="18">
              <a:moveTo>
                <a:pt x="1" y="9"/>
              </a:moveTo>
              <a:cubicBezTo>
                <a:pt x="0" y="6"/>
                <a:pt x="0" y="4"/>
                <a:pt x="0" y="3"/>
              </a:cubicBezTo>
              <a:cubicBezTo>
                <a:pt x="0" y="2"/>
                <a:pt x="2" y="0"/>
                <a:pt x="3" y="0"/>
              </a:cubicBezTo>
              <a:cubicBezTo>
                <a:pt x="4" y="0"/>
                <a:pt x="6" y="0"/>
                <a:pt x="8" y="0"/>
              </a:cubicBezTo>
              <a:cubicBezTo>
                <a:pt x="10" y="0"/>
                <a:pt x="11" y="0"/>
                <a:pt x="13" y="0"/>
              </a:cubicBezTo>
              <a:cubicBezTo>
                <a:pt x="15" y="0"/>
                <a:pt x="17" y="0"/>
                <a:pt x="18"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838200</xdr:colOff>
      <xdr:row>31</xdr:row>
      <xdr:rowOff>9525</xdr:rowOff>
    </xdr:from>
    <xdr:to>
      <xdr:col>5</xdr:col>
      <xdr:colOff>952500</xdr:colOff>
      <xdr:row>31</xdr:row>
      <xdr:rowOff>9525</xdr:rowOff>
    </xdr:to>
    <xdr:sp>
      <xdr:nvSpPr>
        <xdr:cNvPr id="210" name="Line 539"/>
        <xdr:cNvSpPr>
          <a:spLocks/>
        </xdr:cNvSpPr>
      </xdr:nvSpPr>
      <xdr:spPr>
        <a:xfrm>
          <a:off x="3343275" y="6638925"/>
          <a:ext cx="21145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31</xdr:row>
      <xdr:rowOff>28575</xdr:rowOff>
    </xdr:from>
    <xdr:to>
      <xdr:col>5</xdr:col>
      <xdr:colOff>952500</xdr:colOff>
      <xdr:row>31</xdr:row>
      <xdr:rowOff>28575</xdr:rowOff>
    </xdr:to>
    <xdr:sp>
      <xdr:nvSpPr>
        <xdr:cNvPr id="211" name="Line 540"/>
        <xdr:cNvSpPr>
          <a:spLocks/>
        </xdr:cNvSpPr>
      </xdr:nvSpPr>
      <xdr:spPr>
        <a:xfrm flipH="1">
          <a:off x="3438525" y="6657975"/>
          <a:ext cx="201930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27</xdr:row>
      <xdr:rowOff>66675</xdr:rowOff>
    </xdr:from>
    <xdr:to>
      <xdr:col>4</xdr:col>
      <xdr:colOff>95250</xdr:colOff>
      <xdr:row>27</xdr:row>
      <xdr:rowOff>66675</xdr:rowOff>
    </xdr:to>
    <xdr:sp>
      <xdr:nvSpPr>
        <xdr:cNvPr id="212" name="Line 541"/>
        <xdr:cNvSpPr>
          <a:spLocks/>
        </xdr:cNvSpPr>
      </xdr:nvSpPr>
      <xdr:spPr>
        <a:xfrm flipH="1">
          <a:off x="2933700" y="5953125"/>
          <a:ext cx="628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25</xdr:row>
      <xdr:rowOff>9525</xdr:rowOff>
    </xdr:from>
    <xdr:to>
      <xdr:col>3</xdr:col>
      <xdr:colOff>628650</xdr:colOff>
      <xdr:row>25</xdr:row>
      <xdr:rowOff>95250</xdr:rowOff>
    </xdr:to>
    <xdr:sp>
      <xdr:nvSpPr>
        <xdr:cNvPr id="213" name="Freeform 542"/>
        <xdr:cNvSpPr>
          <a:spLocks/>
        </xdr:cNvSpPr>
      </xdr:nvSpPr>
      <xdr:spPr>
        <a:xfrm>
          <a:off x="2971800" y="5505450"/>
          <a:ext cx="161925" cy="85725"/>
        </a:xfrm>
        <a:custGeom>
          <a:pathLst>
            <a:path h="12" w="18">
              <a:moveTo>
                <a:pt x="18" y="0"/>
              </a:moveTo>
              <a:cubicBezTo>
                <a:pt x="17" y="1"/>
                <a:pt x="17" y="2"/>
                <a:pt x="16" y="3"/>
              </a:cubicBezTo>
              <a:cubicBezTo>
                <a:pt x="15" y="4"/>
                <a:pt x="14" y="6"/>
                <a:pt x="13" y="7"/>
              </a:cubicBezTo>
              <a:cubicBezTo>
                <a:pt x="12" y="8"/>
                <a:pt x="9" y="10"/>
                <a:pt x="7" y="11"/>
              </a:cubicBezTo>
              <a:cubicBezTo>
                <a:pt x="5" y="12"/>
                <a:pt x="2"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30</xdr:row>
      <xdr:rowOff>123825</xdr:rowOff>
    </xdr:from>
    <xdr:to>
      <xdr:col>7</xdr:col>
      <xdr:colOff>285750</xdr:colOff>
      <xdr:row>30</xdr:row>
      <xdr:rowOff>123825</xdr:rowOff>
    </xdr:to>
    <xdr:sp>
      <xdr:nvSpPr>
        <xdr:cNvPr id="214" name="Line 543"/>
        <xdr:cNvSpPr>
          <a:spLocks/>
        </xdr:cNvSpPr>
      </xdr:nvSpPr>
      <xdr:spPr>
        <a:xfrm flipH="1">
          <a:off x="6562725" y="6562725"/>
          <a:ext cx="152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29</xdr:row>
      <xdr:rowOff>180975</xdr:rowOff>
    </xdr:from>
    <xdr:to>
      <xdr:col>7</xdr:col>
      <xdr:colOff>285750</xdr:colOff>
      <xdr:row>30</xdr:row>
      <xdr:rowOff>123825</xdr:rowOff>
    </xdr:to>
    <xdr:sp>
      <xdr:nvSpPr>
        <xdr:cNvPr id="215" name="Line 544"/>
        <xdr:cNvSpPr>
          <a:spLocks/>
        </xdr:cNvSpPr>
      </xdr:nvSpPr>
      <xdr:spPr>
        <a:xfrm>
          <a:off x="6715125" y="6429375"/>
          <a:ext cx="0" cy="133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30</xdr:row>
      <xdr:rowOff>85725</xdr:rowOff>
    </xdr:from>
    <xdr:to>
      <xdr:col>7</xdr:col>
      <xdr:colOff>371475</xdr:colOff>
      <xdr:row>31</xdr:row>
      <xdr:rowOff>114300</xdr:rowOff>
    </xdr:to>
    <xdr:sp>
      <xdr:nvSpPr>
        <xdr:cNvPr id="216" name="Text Box 545"/>
        <xdr:cNvSpPr txBox="1">
          <a:spLocks noChangeArrowheads="1"/>
        </xdr:cNvSpPr>
      </xdr:nvSpPr>
      <xdr:spPr>
        <a:xfrm>
          <a:off x="6543675" y="6524625"/>
          <a:ext cx="257175" cy="219075"/>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2.5</a:t>
          </a:r>
          <a:r>
            <a:rPr lang="en-US" cap="none" sz="1100" b="0" i="0" u="none" baseline="0">
              <a:solidFill>
                <a:srgbClr val="000000"/>
              </a:solidFill>
              <a:latin typeface="Arial"/>
              <a:ea typeface="Arial"/>
              <a:cs typeface="Arial"/>
            </a:rPr>
            <a:t>
</a:t>
          </a:r>
        </a:p>
      </xdr:txBody>
    </xdr:sp>
    <xdr:clientData/>
  </xdr:twoCellAnchor>
  <xdr:twoCellAnchor>
    <xdr:from>
      <xdr:col>7</xdr:col>
      <xdr:colOff>304800</xdr:colOff>
      <xdr:row>29</xdr:row>
      <xdr:rowOff>171450</xdr:rowOff>
    </xdr:from>
    <xdr:to>
      <xdr:col>7</xdr:col>
      <xdr:colOff>428625</xdr:colOff>
      <xdr:row>30</xdr:row>
      <xdr:rowOff>171450</xdr:rowOff>
    </xdr:to>
    <xdr:sp>
      <xdr:nvSpPr>
        <xdr:cNvPr id="217" name="Text Box 546"/>
        <xdr:cNvSpPr txBox="1">
          <a:spLocks noChangeArrowheads="1"/>
        </xdr:cNvSpPr>
      </xdr:nvSpPr>
      <xdr:spPr>
        <a:xfrm>
          <a:off x="6734175" y="6419850"/>
          <a:ext cx="123825" cy="19050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a:t>
          </a:r>
        </a:p>
      </xdr:txBody>
    </xdr:sp>
    <xdr:clientData/>
  </xdr:twoCellAnchor>
  <xdr:twoCellAnchor>
    <xdr:from>
      <xdr:col>5</xdr:col>
      <xdr:colOff>647700</xdr:colOff>
      <xdr:row>37</xdr:row>
      <xdr:rowOff>0</xdr:rowOff>
    </xdr:from>
    <xdr:to>
      <xdr:col>7</xdr:col>
      <xdr:colOff>266700</xdr:colOff>
      <xdr:row>37</xdr:row>
      <xdr:rowOff>0</xdr:rowOff>
    </xdr:to>
    <xdr:sp>
      <xdr:nvSpPr>
        <xdr:cNvPr id="218" name="Line 558"/>
        <xdr:cNvSpPr>
          <a:spLocks/>
        </xdr:cNvSpPr>
      </xdr:nvSpPr>
      <xdr:spPr>
        <a:xfrm>
          <a:off x="5153025" y="7800975"/>
          <a:ext cx="1543050"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36</xdr:row>
      <xdr:rowOff>152400</xdr:rowOff>
    </xdr:from>
    <xdr:to>
      <xdr:col>7</xdr:col>
      <xdr:colOff>257175</xdr:colOff>
      <xdr:row>38</xdr:row>
      <xdr:rowOff>47625</xdr:rowOff>
    </xdr:to>
    <xdr:sp>
      <xdr:nvSpPr>
        <xdr:cNvPr id="219" name="Line 559"/>
        <xdr:cNvSpPr>
          <a:spLocks/>
        </xdr:cNvSpPr>
      </xdr:nvSpPr>
      <xdr:spPr>
        <a:xfrm>
          <a:off x="6686550" y="7762875"/>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36</xdr:row>
      <xdr:rowOff>152400</xdr:rowOff>
    </xdr:from>
    <xdr:to>
      <xdr:col>5</xdr:col>
      <xdr:colOff>638175</xdr:colOff>
      <xdr:row>38</xdr:row>
      <xdr:rowOff>38100</xdr:rowOff>
    </xdr:to>
    <xdr:sp>
      <xdr:nvSpPr>
        <xdr:cNvPr id="220" name="Line 560"/>
        <xdr:cNvSpPr>
          <a:spLocks/>
        </xdr:cNvSpPr>
      </xdr:nvSpPr>
      <xdr:spPr>
        <a:xfrm flipV="1">
          <a:off x="5143500" y="7762875"/>
          <a:ext cx="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10</xdr:row>
      <xdr:rowOff>28575</xdr:rowOff>
    </xdr:from>
    <xdr:to>
      <xdr:col>2</xdr:col>
      <xdr:colOff>485775</xdr:colOff>
      <xdr:row>10</xdr:row>
      <xdr:rowOff>228600</xdr:rowOff>
    </xdr:to>
    <xdr:sp>
      <xdr:nvSpPr>
        <xdr:cNvPr id="221" name="Text Box 561"/>
        <xdr:cNvSpPr txBox="1">
          <a:spLocks noChangeArrowheads="1"/>
        </xdr:cNvSpPr>
      </xdr:nvSpPr>
      <xdr:spPr>
        <a:xfrm>
          <a:off x="1819275" y="22764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295275</xdr:colOff>
      <xdr:row>12</xdr:row>
      <xdr:rowOff>28575</xdr:rowOff>
    </xdr:from>
    <xdr:to>
      <xdr:col>2</xdr:col>
      <xdr:colOff>504825</xdr:colOff>
      <xdr:row>12</xdr:row>
      <xdr:rowOff>228600</xdr:rowOff>
    </xdr:to>
    <xdr:sp>
      <xdr:nvSpPr>
        <xdr:cNvPr id="222" name="Text Box 562"/>
        <xdr:cNvSpPr txBox="1">
          <a:spLocks noChangeArrowheads="1"/>
        </xdr:cNvSpPr>
      </xdr:nvSpPr>
      <xdr:spPr>
        <a:xfrm>
          <a:off x="1838325" y="27717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352425</xdr:colOff>
      <xdr:row>8</xdr:row>
      <xdr:rowOff>28575</xdr:rowOff>
    </xdr:from>
    <xdr:to>
      <xdr:col>2</xdr:col>
      <xdr:colOff>609600</xdr:colOff>
      <xdr:row>8</xdr:row>
      <xdr:rowOff>228600</xdr:rowOff>
    </xdr:to>
    <xdr:sp>
      <xdr:nvSpPr>
        <xdr:cNvPr id="223" name="Text Box 563"/>
        <xdr:cNvSpPr txBox="1">
          <a:spLocks noChangeArrowheads="1"/>
        </xdr:cNvSpPr>
      </xdr:nvSpPr>
      <xdr:spPr>
        <a:xfrm>
          <a:off x="1895475" y="1781175"/>
          <a:ext cx="2571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2</xdr:col>
      <xdr:colOff>276225</xdr:colOff>
      <xdr:row>11</xdr:row>
      <xdr:rowOff>28575</xdr:rowOff>
    </xdr:from>
    <xdr:to>
      <xdr:col>2</xdr:col>
      <xdr:colOff>485775</xdr:colOff>
      <xdr:row>11</xdr:row>
      <xdr:rowOff>228600</xdr:rowOff>
    </xdr:to>
    <xdr:sp>
      <xdr:nvSpPr>
        <xdr:cNvPr id="224" name="Text Box 564"/>
        <xdr:cNvSpPr txBox="1">
          <a:spLocks noChangeArrowheads="1"/>
        </xdr:cNvSpPr>
      </xdr:nvSpPr>
      <xdr:spPr>
        <a:xfrm>
          <a:off x="1819275" y="252412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3</xdr:col>
      <xdr:colOff>400050</xdr:colOff>
      <xdr:row>25</xdr:row>
      <xdr:rowOff>95250</xdr:rowOff>
    </xdr:from>
    <xdr:to>
      <xdr:col>3</xdr:col>
      <xdr:colOff>466725</xdr:colOff>
      <xdr:row>25</xdr:row>
      <xdr:rowOff>95250</xdr:rowOff>
    </xdr:to>
    <xdr:sp>
      <xdr:nvSpPr>
        <xdr:cNvPr id="225" name="Line 565"/>
        <xdr:cNvSpPr>
          <a:spLocks/>
        </xdr:cNvSpPr>
      </xdr:nvSpPr>
      <xdr:spPr>
        <a:xfrm flipH="1">
          <a:off x="2905125" y="5591175"/>
          <a:ext cx="66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10</xdr:row>
      <xdr:rowOff>238125</xdr:rowOff>
    </xdr:from>
    <xdr:to>
      <xdr:col>8</xdr:col>
      <xdr:colOff>838200</xdr:colOff>
      <xdr:row>12</xdr:row>
      <xdr:rowOff>9525</xdr:rowOff>
    </xdr:to>
    <xdr:sp>
      <xdr:nvSpPr>
        <xdr:cNvPr id="226" name="Text Box 566"/>
        <xdr:cNvSpPr txBox="1">
          <a:spLocks noChangeArrowheads="1"/>
        </xdr:cNvSpPr>
      </xdr:nvSpPr>
      <xdr:spPr>
        <a:xfrm>
          <a:off x="7753350" y="2486025"/>
          <a:ext cx="476250"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361950</xdr:colOff>
      <xdr:row>11</xdr:row>
      <xdr:rowOff>228600</xdr:rowOff>
    </xdr:from>
    <xdr:to>
      <xdr:col>8</xdr:col>
      <xdr:colOff>838200</xdr:colOff>
      <xdr:row>13</xdr:row>
      <xdr:rowOff>0</xdr:rowOff>
    </xdr:to>
    <xdr:sp>
      <xdr:nvSpPr>
        <xdr:cNvPr id="227" name="Text Box 567"/>
        <xdr:cNvSpPr txBox="1">
          <a:spLocks noChangeArrowheads="1"/>
        </xdr:cNvSpPr>
      </xdr:nvSpPr>
      <xdr:spPr>
        <a:xfrm>
          <a:off x="7753350" y="2724150"/>
          <a:ext cx="476250"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257175</xdr:colOff>
      <xdr:row>13</xdr:row>
      <xdr:rowOff>19050</xdr:rowOff>
    </xdr:from>
    <xdr:to>
      <xdr:col>8</xdr:col>
      <xdr:colOff>742950</xdr:colOff>
      <xdr:row>14</xdr:row>
      <xdr:rowOff>38100</xdr:rowOff>
    </xdr:to>
    <xdr:sp>
      <xdr:nvSpPr>
        <xdr:cNvPr id="228" name="Text Box 568"/>
        <xdr:cNvSpPr txBox="1">
          <a:spLocks noChangeArrowheads="1"/>
        </xdr:cNvSpPr>
      </xdr:nvSpPr>
      <xdr:spPr>
        <a:xfrm>
          <a:off x="7648575" y="3009900"/>
          <a:ext cx="485775" cy="2667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acres</a:t>
          </a:r>
        </a:p>
      </xdr:txBody>
    </xdr:sp>
    <xdr:clientData/>
  </xdr:twoCellAnchor>
  <xdr:twoCellAnchor>
    <xdr:from>
      <xdr:col>2</xdr:col>
      <xdr:colOff>352425</xdr:colOff>
      <xdr:row>9</xdr:row>
      <xdr:rowOff>28575</xdr:rowOff>
    </xdr:from>
    <xdr:to>
      <xdr:col>2</xdr:col>
      <xdr:colOff>581025</xdr:colOff>
      <xdr:row>9</xdr:row>
      <xdr:rowOff>228600</xdr:rowOff>
    </xdr:to>
    <xdr:sp>
      <xdr:nvSpPr>
        <xdr:cNvPr id="229" name="Text Box 569"/>
        <xdr:cNvSpPr txBox="1">
          <a:spLocks noChangeArrowheads="1"/>
        </xdr:cNvSpPr>
      </xdr:nvSpPr>
      <xdr:spPr>
        <a:xfrm>
          <a:off x="1895475" y="2028825"/>
          <a:ext cx="22860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6</xdr:col>
      <xdr:colOff>142875</xdr:colOff>
      <xdr:row>40</xdr:row>
      <xdr:rowOff>0</xdr:rowOff>
    </xdr:from>
    <xdr:to>
      <xdr:col>6</xdr:col>
      <xdr:colOff>542925</xdr:colOff>
      <xdr:row>41</xdr:row>
      <xdr:rowOff>47625</xdr:rowOff>
    </xdr:to>
    <xdr:sp>
      <xdr:nvSpPr>
        <xdr:cNvPr id="230" name="Text Box 573"/>
        <xdr:cNvSpPr txBox="1">
          <a:spLocks noChangeArrowheads="1"/>
        </xdr:cNvSpPr>
      </xdr:nvSpPr>
      <xdr:spPr>
        <a:xfrm>
          <a:off x="5610225" y="8353425"/>
          <a:ext cx="4000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 =</a:t>
          </a:r>
        </a:p>
      </xdr:txBody>
    </xdr:sp>
    <xdr:clientData/>
  </xdr:twoCellAnchor>
  <xdr:twoCellAnchor>
    <xdr:from>
      <xdr:col>5</xdr:col>
      <xdr:colOff>695325</xdr:colOff>
      <xdr:row>36</xdr:row>
      <xdr:rowOff>0</xdr:rowOff>
    </xdr:from>
    <xdr:to>
      <xdr:col>6</xdr:col>
      <xdr:colOff>619125</xdr:colOff>
      <xdr:row>37</xdr:row>
      <xdr:rowOff>47625</xdr:rowOff>
    </xdr:to>
    <xdr:sp>
      <xdr:nvSpPr>
        <xdr:cNvPr id="231" name="Text Box 574"/>
        <xdr:cNvSpPr txBox="1">
          <a:spLocks noChangeArrowheads="1"/>
        </xdr:cNvSpPr>
      </xdr:nvSpPr>
      <xdr:spPr>
        <a:xfrm>
          <a:off x="5200650" y="7610475"/>
          <a:ext cx="88582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Top width =</a:t>
          </a:r>
        </a:p>
      </xdr:txBody>
    </xdr:sp>
    <xdr:clientData/>
  </xdr:twoCellAnchor>
  <xdr:twoCellAnchor>
    <xdr:from>
      <xdr:col>5</xdr:col>
      <xdr:colOff>257175</xdr:colOff>
      <xdr:row>39</xdr:row>
      <xdr:rowOff>152400</xdr:rowOff>
    </xdr:from>
    <xdr:to>
      <xdr:col>5</xdr:col>
      <xdr:colOff>466725</xdr:colOff>
      <xdr:row>40</xdr:row>
      <xdr:rowOff>180975</xdr:rowOff>
    </xdr:to>
    <xdr:sp>
      <xdr:nvSpPr>
        <xdr:cNvPr id="232" name="Text Box 576"/>
        <xdr:cNvSpPr txBox="1">
          <a:spLocks noChangeArrowheads="1"/>
        </xdr:cNvSpPr>
      </xdr:nvSpPr>
      <xdr:spPr>
        <a:xfrm>
          <a:off x="4762500" y="8315325"/>
          <a:ext cx="2095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1</a:t>
          </a:r>
        </a:p>
      </xdr:txBody>
    </xdr:sp>
    <xdr:clientData/>
  </xdr:twoCellAnchor>
  <xdr:twoCellAnchor>
    <xdr:from>
      <xdr:col>7</xdr:col>
      <xdr:colOff>419100</xdr:colOff>
      <xdr:row>42</xdr:row>
      <xdr:rowOff>152400</xdr:rowOff>
    </xdr:from>
    <xdr:to>
      <xdr:col>8</xdr:col>
      <xdr:colOff>533400</xdr:colOff>
      <xdr:row>44</xdr:row>
      <xdr:rowOff>9525</xdr:rowOff>
    </xdr:to>
    <xdr:sp>
      <xdr:nvSpPr>
        <xdr:cNvPr id="233" name="Text Box 577"/>
        <xdr:cNvSpPr txBox="1">
          <a:spLocks noChangeArrowheads="1"/>
        </xdr:cNvSpPr>
      </xdr:nvSpPr>
      <xdr:spPr>
        <a:xfrm>
          <a:off x="6848475" y="8886825"/>
          <a:ext cx="107632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a:t>
          </a:r>
          <a:r>
            <a:rPr lang="en-US" cap="none" sz="1200" b="0" i="0" u="none" baseline="-25000">
              <a:solidFill>
                <a:srgbClr val="000000"/>
              </a:solidFill>
              <a:latin typeface="Arial"/>
              <a:ea typeface="Arial"/>
              <a:cs typeface="Arial"/>
            </a:rPr>
            <a:t>thickness </a:t>
          </a:r>
          <a:r>
            <a:rPr lang="en-US" cap="none" sz="1200" b="0" i="0" u="none" baseline="0">
              <a:solidFill>
                <a:srgbClr val="000000"/>
              </a:solidFill>
              <a:latin typeface="Arial"/>
              <a:ea typeface="Arial"/>
              <a:cs typeface="Arial"/>
            </a:rPr>
            <a:t>=</a:t>
          </a:r>
        </a:p>
      </xdr:txBody>
    </xdr:sp>
    <xdr:clientData/>
  </xdr:twoCellAnchor>
  <xdr:twoCellAnchor>
    <xdr:from>
      <xdr:col>5</xdr:col>
      <xdr:colOff>190500</xdr:colOff>
      <xdr:row>38</xdr:row>
      <xdr:rowOff>66675</xdr:rowOff>
    </xdr:from>
    <xdr:to>
      <xdr:col>5</xdr:col>
      <xdr:colOff>295275</xdr:colOff>
      <xdr:row>38</xdr:row>
      <xdr:rowOff>66675</xdr:rowOff>
    </xdr:to>
    <xdr:sp>
      <xdr:nvSpPr>
        <xdr:cNvPr id="234" name="Line 578"/>
        <xdr:cNvSpPr>
          <a:spLocks/>
        </xdr:cNvSpPr>
      </xdr:nvSpPr>
      <xdr:spPr>
        <a:xfrm flipH="1">
          <a:off x="4695825" y="8048625"/>
          <a:ext cx="104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38</xdr:row>
      <xdr:rowOff>66675</xdr:rowOff>
    </xdr:from>
    <xdr:to>
      <xdr:col>5</xdr:col>
      <xdr:colOff>247650</xdr:colOff>
      <xdr:row>39</xdr:row>
      <xdr:rowOff>57150</xdr:rowOff>
    </xdr:to>
    <xdr:sp>
      <xdr:nvSpPr>
        <xdr:cNvPr id="235" name="Line 579"/>
        <xdr:cNvSpPr>
          <a:spLocks/>
        </xdr:cNvSpPr>
      </xdr:nvSpPr>
      <xdr:spPr>
        <a:xfrm>
          <a:off x="4752975" y="8048625"/>
          <a:ext cx="0" cy="171450"/>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39</xdr:row>
      <xdr:rowOff>0</xdr:rowOff>
    </xdr:from>
    <xdr:to>
      <xdr:col>4</xdr:col>
      <xdr:colOff>685800</xdr:colOff>
      <xdr:row>40</xdr:row>
      <xdr:rowOff>47625</xdr:rowOff>
    </xdr:to>
    <xdr:sp>
      <xdr:nvSpPr>
        <xdr:cNvPr id="236" name="Text Box 580"/>
        <xdr:cNvSpPr txBox="1">
          <a:spLocks noChangeArrowheads="1"/>
        </xdr:cNvSpPr>
      </xdr:nvSpPr>
      <xdr:spPr>
        <a:xfrm>
          <a:off x="3219450" y="8162925"/>
          <a:ext cx="9334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Freeboard =</a:t>
          </a:r>
        </a:p>
      </xdr:txBody>
    </xdr:sp>
    <xdr:clientData/>
  </xdr:twoCellAnchor>
  <xdr:twoCellAnchor>
    <xdr:from>
      <xdr:col>5</xdr:col>
      <xdr:colOff>114300</xdr:colOff>
      <xdr:row>39</xdr:row>
      <xdr:rowOff>0</xdr:rowOff>
    </xdr:from>
    <xdr:to>
      <xdr:col>5</xdr:col>
      <xdr:colOff>247650</xdr:colOff>
      <xdr:row>39</xdr:row>
      <xdr:rowOff>114300</xdr:rowOff>
    </xdr:to>
    <xdr:sp>
      <xdr:nvSpPr>
        <xdr:cNvPr id="237" name="Freeform 581"/>
        <xdr:cNvSpPr>
          <a:spLocks/>
        </xdr:cNvSpPr>
      </xdr:nvSpPr>
      <xdr:spPr>
        <a:xfrm>
          <a:off x="4619625" y="8162925"/>
          <a:ext cx="133350" cy="114300"/>
        </a:xfrm>
        <a:custGeom>
          <a:pathLst>
            <a:path h="12" w="14">
              <a:moveTo>
                <a:pt x="14" y="0"/>
              </a:moveTo>
              <a:cubicBezTo>
                <a:pt x="14" y="3"/>
                <a:pt x="14" y="7"/>
                <a:pt x="13" y="9"/>
              </a:cubicBezTo>
              <a:cubicBezTo>
                <a:pt x="12" y="11"/>
                <a:pt x="8" y="12"/>
                <a:pt x="6" y="12"/>
              </a:cubicBezTo>
              <a:cubicBezTo>
                <a:pt x="4" y="12"/>
                <a:pt x="1" y="12"/>
                <a:pt x="0" y="1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25</xdr:row>
      <xdr:rowOff>66675</xdr:rowOff>
    </xdr:from>
    <xdr:to>
      <xdr:col>4</xdr:col>
      <xdr:colOff>742950</xdr:colOff>
      <xdr:row>26</xdr:row>
      <xdr:rowOff>76200</xdr:rowOff>
    </xdr:to>
    <xdr:sp>
      <xdr:nvSpPr>
        <xdr:cNvPr id="238" name="Line 587"/>
        <xdr:cNvSpPr>
          <a:spLocks/>
        </xdr:cNvSpPr>
      </xdr:nvSpPr>
      <xdr:spPr>
        <a:xfrm flipH="1">
          <a:off x="4095750" y="5562600"/>
          <a:ext cx="114300" cy="200025"/>
        </a:xfrm>
        <a:prstGeom prst="line">
          <a:avLst/>
        </a:prstGeom>
        <a:noFill/>
        <a:ln w="31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xdr:row>
      <xdr:rowOff>190500</xdr:rowOff>
    </xdr:from>
    <xdr:to>
      <xdr:col>5</xdr:col>
      <xdr:colOff>295275</xdr:colOff>
      <xdr:row>22</xdr:row>
      <xdr:rowOff>28575</xdr:rowOff>
    </xdr:to>
    <xdr:sp>
      <xdr:nvSpPr>
        <xdr:cNvPr id="239" name="Text Box 588"/>
        <xdr:cNvSpPr txBox="1">
          <a:spLocks noChangeArrowheads="1"/>
        </xdr:cNvSpPr>
      </xdr:nvSpPr>
      <xdr:spPr>
        <a:xfrm>
          <a:off x="3752850" y="4648200"/>
          <a:ext cx="1047750"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Rock </a:t>
          </a:r>
          <a:r>
            <a:rPr lang="en-US" cap="none" sz="1200" b="0" i="0" u="none" baseline="-25000">
              <a:solidFill>
                <a:srgbClr val="000000"/>
              </a:solidFill>
              <a:latin typeface="Arial"/>
              <a:ea typeface="Arial"/>
              <a:cs typeface="Arial"/>
            </a:rPr>
            <a:t>thickness </a:t>
          </a:r>
          <a:r>
            <a:rPr lang="en-US" cap="none" sz="1200" b="0" i="0" u="none" baseline="0">
              <a:solidFill>
                <a:srgbClr val="000000"/>
              </a:solidFill>
              <a:latin typeface="Arial"/>
              <a:ea typeface="Arial"/>
              <a:cs typeface="Arial"/>
            </a:rPr>
            <a:t>=</a:t>
          </a:r>
        </a:p>
      </xdr:txBody>
    </xdr:sp>
    <xdr:clientData/>
  </xdr:twoCellAnchor>
  <xdr:twoCellAnchor>
    <xdr:from>
      <xdr:col>4</xdr:col>
      <xdr:colOff>895350</xdr:colOff>
      <xdr:row>22</xdr:row>
      <xdr:rowOff>9525</xdr:rowOff>
    </xdr:from>
    <xdr:to>
      <xdr:col>5</xdr:col>
      <xdr:colOff>180975</xdr:colOff>
      <xdr:row>24</xdr:row>
      <xdr:rowOff>76200</xdr:rowOff>
    </xdr:to>
    <xdr:sp>
      <xdr:nvSpPr>
        <xdr:cNvPr id="240" name="Line 589"/>
        <xdr:cNvSpPr>
          <a:spLocks/>
        </xdr:cNvSpPr>
      </xdr:nvSpPr>
      <xdr:spPr>
        <a:xfrm flipH="1">
          <a:off x="4362450" y="4886325"/>
          <a:ext cx="323850" cy="48577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38</xdr:row>
      <xdr:rowOff>66675</xdr:rowOff>
    </xdr:from>
    <xdr:to>
      <xdr:col>5</xdr:col>
      <xdr:colOff>800100</xdr:colOff>
      <xdr:row>43</xdr:row>
      <xdr:rowOff>19050</xdr:rowOff>
    </xdr:to>
    <xdr:sp>
      <xdr:nvSpPr>
        <xdr:cNvPr id="241" name="Line 590"/>
        <xdr:cNvSpPr>
          <a:spLocks/>
        </xdr:cNvSpPr>
      </xdr:nvSpPr>
      <xdr:spPr>
        <a:xfrm>
          <a:off x="4829175" y="8048625"/>
          <a:ext cx="476250" cy="8953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800100</xdr:colOff>
      <xdr:row>43</xdr:row>
      <xdr:rowOff>19050</xdr:rowOff>
    </xdr:from>
    <xdr:to>
      <xdr:col>7</xdr:col>
      <xdr:colOff>95250</xdr:colOff>
      <xdr:row>43</xdr:row>
      <xdr:rowOff>19050</xdr:rowOff>
    </xdr:to>
    <xdr:sp>
      <xdr:nvSpPr>
        <xdr:cNvPr id="242" name="Line 591"/>
        <xdr:cNvSpPr>
          <a:spLocks/>
        </xdr:cNvSpPr>
      </xdr:nvSpPr>
      <xdr:spPr>
        <a:xfrm>
          <a:off x="5305425" y="8943975"/>
          <a:ext cx="121920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38</xdr:row>
      <xdr:rowOff>76200</xdr:rowOff>
    </xdr:from>
    <xdr:to>
      <xdr:col>7</xdr:col>
      <xdr:colOff>590550</xdr:colOff>
      <xdr:row>43</xdr:row>
      <xdr:rowOff>19050</xdr:rowOff>
    </xdr:to>
    <xdr:sp>
      <xdr:nvSpPr>
        <xdr:cNvPr id="243" name="Line 592"/>
        <xdr:cNvSpPr>
          <a:spLocks/>
        </xdr:cNvSpPr>
      </xdr:nvSpPr>
      <xdr:spPr>
        <a:xfrm flipH="1">
          <a:off x="6515100" y="8058150"/>
          <a:ext cx="504825" cy="8858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40</xdr:row>
      <xdr:rowOff>19050</xdr:rowOff>
    </xdr:from>
    <xdr:to>
      <xdr:col>7</xdr:col>
      <xdr:colOff>933450</xdr:colOff>
      <xdr:row>41</xdr:row>
      <xdr:rowOff>95250</xdr:rowOff>
    </xdr:to>
    <xdr:sp>
      <xdr:nvSpPr>
        <xdr:cNvPr id="244" name="Line 593"/>
        <xdr:cNvSpPr>
          <a:spLocks/>
        </xdr:cNvSpPr>
      </xdr:nvSpPr>
      <xdr:spPr>
        <a:xfrm flipH="1" flipV="1">
          <a:off x="6838950" y="8372475"/>
          <a:ext cx="523875" cy="2667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7</xdr:row>
      <xdr:rowOff>228600</xdr:rowOff>
    </xdr:from>
    <xdr:to>
      <xdr:col>8</xdr:col>
      <xdr:colOff>857250</xdr:colOff>
      <xdr:row>8</xdr:row>
      <xdr:rowOff>238125</xdr:rowOff>
    </xdr:to>
    <xdr:sp>
      <xdr:nvSpPr>
        <xdr:cNvPr id="245" name="Text Box 594"/>
        <xdr:cNvSpPr txBox="1">
          <a:spLocks noChangeArrowheads="1"/>
        </xdr:cNvSpPr>
      </xdr:nvSpPr>
      <xdr:spPr>
        <a:xfrm>
          <a:off x="7762875" y="1733550"/>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371475</xdr:colOff>
      <xdr:row>9</xdr:row>
      <xdr:rowOff>228600</xdr:rowOff>
    </xdr:from>
    <xdr:to>
      <xdr:col>8</xdr:col>
      <xdr:colOff>857250</xdr:colOff>
      <xdr:row>10</xdr:row>
      <xdr:rowOff>238125</xdr:rowOff>
    </xdr:to>
    <xdr:sp>
      <xdr:nvSpPr>
        <xdr:cNvPr id="246" name="Text Box 595"/>
        <xdr:cNvSpPr txBox="1">
          <a:spLocks noChangeArrowheads="1"/>
        </xdr:cNvSpPr>
      </xdr:nvSpPr>
      <xdr:spPr>
        <a:xfrm>
          <a:off x="7762875" y="2228850"/>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3</a:t>
          </a:r>
        </a:p>
      </xdr:txBody>
    </xdr:sp>
    <xdr:clientData/>
  </xdr:twoCellAnchor>
  <xdr:twoCellAnchor>
    <xdr:from>
      <xdr:col>8</xdr:col>
      <xdr:colOff>381000</xdr:colOff>
      <xdr:row>8</xdr:row>
      <xdr:rowOff>228600</xdr:rowOff>
    </xdr:from>
    <xdr:to>
      <xdr:col>8</xdr:col>
      <xdr:colOff>866775</xdr:colOff>
      <xdr:row>9</xdr:row>
      <xdr:rowOff>238125</xdr:rowOff>
    </xdr:to>
    <xdr:sp>
      <xdr:nvSpPr>
        <xdr:cNvPr id="247" name="Text Box 596"/>
        <xdr:cNvSpPr txBox="1">
          <a:spLocks noChangeArrowheads="1"/>
        </xdr:cNvSpPr>
      </xdr:nvSpPr>
      <xdr:spPr>
        <a:xfrm>
          <a:off x="7772400" y="1981200"/>
          <a:ext cx="485775" cy="2571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yd</a:t>
          </a:r>
          <a:r>
            <a:rPr lang="en-US" cap="none" sz="1200" b="0" i="0" u="none" baseline="30000">
              <a:solidFill>
                <a:srgbClr val="000000"/>
              </a:solidFill>
              <a:latin typeface="Arial"/>
              <a:ea typeface="Arial"/>
              <a:cs typeface="Arial"/>
            </a:rPr>
            <a:t>2</a:t>
          </a:r>
        </a:p>
      </xdr:txBody>
    </xdr:sp>
    <xdr:clientData/>
  </xdr:twoCellAnchor>
  <xdr:twoCellAnchor>
    <xdr:from>
      <xdr:col>5</xdr:col>
      <xdr:colOff>400050</xdr:colOff>
      <xdr:row>2</xdr:row>
      <xdr:rowOff>152400</xdr:rowOff>
    </xdr:from>
    <xdr:to>
      <xdr:col>5</xdr:col>
      <xdr:colOff>400050</xdr:colOff>
      <xdr:row>6</xdr:row>
      <xdr:rowOff>66675</xdr:rowOff>
    </xdr:to>
    <xdr:sp>
      <xdr:nvSpPr>
        <xdr:cNvPr id="248" name="Line 599"/>
        <xdr:cNvSpPr>
          <a:spLocks/>
        </xdr:cNvSpPr>
      </xdr:nvSpPr>
      <xdr:spPr>
        <a:xfrm>
          <a:off x="4905375" y="666750"/>
          <a:ext cx="0" cy="6953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18</xdr:row>
      <xdr:rowOff>76200</xdr:rowOff>
    </xdr:from>
    <xdr:to>
      <xdr:col>2</xdr:col>
      <xdr:colOff>476250</xdr:colOff>
      <xdr:row>20</xdr:row>
      <xdr:rowOff>142875</xdr:rowOff>
    </xdr:to>
    <xdr:sp>
      <xdr:nvSpPr>
        <xdr:cNvPr id="249" name="Line 602"/>
        <xdr:cNvSpPr>
          <a:spLocks/>
        </xdr:cNvSpPr>
      </xdr:nvSpPr>
      <xdr:spPr>
        <a:xfrm flipV="1">
          <a:off x="2019300" y="4114800"/>
          <a:ext cx="0" cy="485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18</xdr:row>
      <xdr:rowOff>76200</xdr:rowOff>
    </xdr:from>
    <xdr:to>
      <xdr:col>2</xdr:col>
      <xdr:colOff>504825</xdr:colOff>
      <xdr:row>21</xdr:row>
      <xdr:rowOff>28575</xdr:rowOff>
    </xdr:to>
    <xdr:sp>
      <xdr:nvSpPr>
        <xdr:cNvPr id="250" name="Text Box 603"/>
        <xdr:cNvSpPr txBox="1">
          <a:spLocks noChangeArrowheads="1"/>
        </xdr:cNvSpPr>
      </xdr:nvSpPr>
      <xdr:spPr>
        <a:xfrm>
          <a:off x="1800225" y="4114800"/>
          <a:ext cx="247650" cy="581025"/>
        </a:xfrm>
        <a:prstGeom prst="rect">
          <a:avLst/>
        </a:prstGeom>
        <a:noFill/>
        <a:ln w="12700" cmpd="sng">
          <a:noFill/>
        </a:ln>
      </xdr:spPr>
      <xdr:txBody>
        <a:bodyPr vertOverflow="clip" wrap="square" lIns="27432" tIns="22860" rIns="0" bIns="0" vert="vert270"/>
        <a:p>
          <a:pPr algn="l">
            <a:defRPr/>
          </a:pPr>
          <a:r>
            <a:rPr lang="en-US" cap="none" sz="1100" b="0" i="0" u="none" baseline="0">
              <a:solidFill>
                <a:srgbClr val="000000"/>
              </a:solidFill>
              <a:latin typeface="Arial"/>
              <a:ea typeface="Arial"/>
              <a:cs typeface="Arial"/>
            </a:rPr>
            <a:t>Station</a:t>
          </a:r>
        </a:p>
      </xdr:txBody>
    </xdr:sp>
    <xdr:clientData/>
  </xdr:twoCellAnchor>
  <xdr:twoCellAnchor>
    <xdr:from>
      <xdr:col>3</xdr:col>
      <xdr:colOff>600075</xdr:colOff>
      <xdr:row>21</xdr:row>
      <xdr:rowOff>0</xdr:rowOff>
    </xdr:from>
    <xdr:to>
      <xdr:col>4</xdr:col>
      <xdr:colOff>0</xdr:colOff>
      <xdr:row>21</xdr:row>
      <xdr:rowOff>0</xdr:rowOff>
    </xdr:to>
    <xdr:sp>
      <xdr:nvSpPr>
        <xdr:cNvPr id="251" name="Line 605"/>
        <xdr:cNvSpPr>
          <a:spLocks/>
        </xdr:cNvSpPr>
      </xdr:nvSpPr>
      <xdr:spPr>
        <a:xfrm>
          <a:off x="3105150" y="4667250"/>
          <a:ext cx="361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21</xdr:row>
      <xdr:rowOff>0</xdr:rowOff>
    </xdr:from>
    <xdr:to>
      <xdr:col>4</xdr:col>
      <xdr:colOff>257175</xdr:colOff>
      <xdr:row>21</xdr:row>
      <xdr:rowOff>190500</xdr:rowOff>
    </xdr:to>
    <xdr:sp>
      <xdr:nvSpPr>
        <xdr:cNvPr id="252" name="Line 606"/>
        <xdr:cNvSpPr>
          <a:spLocks/>
        </xdr:cNvSpPr>
      </xdr:nvSpPr>
      <xdr:spPr>
        <a:xfrm flipH="1" flipV="1">
          <a:off x="3467100" y="4667250"/>
          <a:ext cx="257175"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20</xdr:row>
      <xdr:rowOff>57150</xdr:rowOff>
    </xdr:from>
    <xdr:to>
      <xdr:col>3</xdr:col>
      <xdr:colOff>857250</xdr:colOff>
      <xdr:row>21</xdr:row>
      <xdr:rowOff>19050</xdr:rowOff>
    </xdr:to>
    <xdr:sp>
      <xdr:nvSpPr>
        <xdr:cNvPr id="253" name="Text Box 609"/>
        <xdr:cNvSpPr txBox="1">
          <a:spLocks noChangeArrowheads="1"/>
        </xdr:cNvSpPr>
      </xdr:nvSpPr>
      <xdr:spPr>
        <a:xfrm>
          <a:off x="3228975" y="451485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a:t>
          </a:r>
        </a:p>
      </xdr:txBody>
    </xdr:sp>
    <xdr:clientData/>
  </xdr:twoCellAnchor>
  <xdr:twoCellAnchor>
    <xdr:from>
      <xdr:col>3</xdr:col>
      <xdr:colOff>923925</xdr:colOff>
      <xdr:row>20</xdr:row>
      <xdr:rowOff>76200</xdr:rowOff>
    </xdr:from>
    <xdr:to>
      <xdr:col>4</xdr:col>
      <xdr:colOff>95250</xdr:colOff>
      <xdr:row>21</xdr:row>
      <xdr:rowOff>47625</xdr:rowOff>
    </xdr:to>
    <xdr:sp>
      <xdr:nvSpPr>
        <xdr:cNvPr id="254" name="Text Box 610"/>
        <xdr:cNvSpPr txBox="1">
          <a:spLocks noChangeArrowheads="1"/>
        </xdr:cNvSpPr>
      </xdr:nvSpPr>
      <xdr:spPr>
        <a:xfrm>
          <a:off x="3429000" y="4533900"/>
          <a:ext cx="133350" cy="180975"/>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3</a:t>
          </a:r>
        </a:p>
      </xdr:txBody>
    </xdr:sp>
    <xdr:clientData/>
  </xdr:twoCellAnchor>
  <xdr:twoCellAnchor>
    <xdr:from>
      <xdr:col>4</xdr:col>
      <xdr:colOff>133350</xdr:colOff>
      <xdr:row>21</xdr:row>
      <xdr:rowOff>0</xdr:rowOff>
    </xdr:from>
    <xdr:to>
      <xdr:col>4</xdr:col>
      <xdr:colOff>266700</xdr:colOff>
      <xdr:row>21</xdr:row>
      <xdr:rowOff>142875</xdr:rowOff>
    </xdr:to>
    <xdr:sp>
      <xdr:nvSpPr>
        <xdr:cNvPr id="255" name="Text Box 611"/>
        <xdr:cNvSpPr txBox="1">
          <a:spLocks noChangeArrowheads="1"/>
        </xdr:cNvSpPr>
      </xdr:nvSpPr>
      <xdr:spPr>
        <a:xfrm>
          <a:off x="3600450" y="4667250"/>
          <a:ext cx="133350" cy="142875"/>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4</a:t>
          </a:r>
        </a:p>
      </xdr:txBody>
    </xdr:sp>
    <xdr:clientData/>
  </xdr:twoCellAnchor>
  <xdr:twoCellAnchor>
    <xdr:from>
      <xdr:col>2</xdr:col>
      <xdr:colOff>476250</xdr:colOff>
      <xdr:row>20</xdr:row>
      <xdr:rowOff>38100</xdr:rowOff>
    </xdr:from>
    <xdr:to>
      <xdr:col>2</xdr:col>
      <xdr:colOff>609600</xdr:colOff>
      <xdr:row>21</xdr:row>
      <xdr:rowOff>0</xdr:rowOff>
    </xdr:to>
    <xdr:sp>
      <xdr:nvSpPr>
        <xdr:cNvPr id="256" name="Text Box 613"/>
        <xdr:cNvSpPr txBox="1">
          <a:spLocks noChangeArrowheads="1"/>
        </xdr:cNvSpPr>
      </xdr:nvSpPr>
      <xdr:spPr>
        <a:xfrm>
          <a:off x="2019300" y="449580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a:t>
          </a:r>
        </a:p>
      </xdr:txBody>
    </xdr:sp>
    <xdr:clientData/>
  </xdr:twoCellAnchor>
  <xdr:twoCellAnchor>
    <xdr:from>
      <xdr:col>5</xdr:col>
      <xdr:colOff>914400</xdr:colOff>
      <xdr:row>28</xdr:row>
      <xdr:rowOff>9525</xdr:rowOff>
    </xdr:from>
    <xdr:to>
      <xdr:col>6</xdr:col>
      <xdr:colOff>85725</xdr:colOff>
      <xdr:row>29</xdr:row>
      <xdr:rowOff>0</xdr:rowOff>
    </xdr:to>
    <xdr:sp>
      <xdr:nvSpPr>
        <xdr:cNvPr id="257" name="Text Box 614"/>
        <xdr:cNvSpPr txBox="1">
          <a:spLocks noChangeArrowheads="1"/>
        </xdr:cNvSpPr>
      </xdr:nvSpPr>
      <xdr:spPr>
        <a:xfrm>
          <a:off x="5419725" y="607695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5</a:t>
          </a:r>
        </a:p>
      </xdr:txBody>
    </xdr:sp>
    <xdr:clientData/>
  </xdr:twoCellAnchor>
  <xdr:twoCellAnchor>
    <xdr:from>
      <xdr:col>6</xdr:col>
      <xdr:colOff>952500</xdr:colOff>
      <xdr:row>28</xdr:row>
      <xdr:rowOff>9525</xdr:rowOff>
    </xdr:from>
    <xdr:to>
      <xdr:col>7</xdr:col>
      <xdr:colOff>123825</xdr:colOff>
      <xdr:row>29</xdr:row>
      <xdr:rowOff>0</xdr:rowOff>
    </xdr:to>
    <xdr:sp>
      <xdr:nvSpPr>
        <xdr:cNvPr id="258" name="Text Box 615"/>
        <xdr:cNvSpPr txBox="1">
          <a:spLocks noChangeArrowheads="1"/>
        </xdr:cNvSpPr>
      </xdr:nvSpPr>
      <xdr:spPr>
        <a:xfrm>
          <a:off x="6419850" y="607695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6</a:t>
          </a:r>
        </a:p>
      </xdr:txBody>
    </xdr:sp>
    <xdr:clientData/>
  </xdr:twoCellAnchor>
  <xdr:twoCellAnchor>
    <xdr:from>
      <xdr:col>7</xdr:col>
      <xdr:colOff>190500</xdr:colOff>
      <xdr:row>27</xdr:row>
      <xdr:rowOff>38100</xdr:rowOff>
    </xdr:from>
    <xdr:to>
      <xdr:col>7</xdr:col>
      <xdr:colOff>323850</xdr:colOff>
      <xdr:row>28</xdr:row>
      <xdr:rowOff>28575</xdr:rowOff>
    </xdr:to>
    <xdr:sp>
      <xdr:nvSpPr>
        <xdr:cNvPr id="259" name="Text Box 616"/>
        <xdr:cNvSpPr txBox="1">
          <a:spLocks noChangeArrowheads="1"/>
        </xdr:cNvSpPr>
      </xdr:nvSpPr>
      <xdr:spPr>
        <a:xfrm>
          <a:off x="6619875" y="5924550"/>
          <a:ext cx="133350" cy="171450"/>
        </a:xfrm>
        <a:prstGeom prst="rect">
          <a:avLst/>
        </a:prstGeom>
        <a:noFill/>
        <a:ln w="12700"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7</a:t>
          </a:r>
        </a:p>
      </xdr:txBody>
    </xdr:sp>
    <xdr:clientData/>
  </xdr:twoCellAnchor>
  <xdr:twoCellAnchor>
    <xdr:from>
      <xdr:col>6</xdr:col>
      <xdr:colOff>752475</xdr:colOff>
      <xdr:row>30</xdr:row>
      <xdr:rowOff>95250</xdr:rowOff>
    </xdr:from>
    <xdr:to>
      <xdr:col>6</xdr:col>
      <xdr:colOff>819150</xdr:colOff>
      <xdr:row>32</xdr:row>
      <xdr:rowOff>19050</xdr:rowOff>
    </xdr:to>
    <xdr:sp>
      <xdr:nvSpPr>
        <xdr:cNvPr id="260" name="Line 618"/>
        <xdr:cNvSpPr>
          <a:spLocks/>
        </xdr:cNvSpPr>
      </xdr:nvSpPr>
      <xdr:spPr>
        <a:xfrm flipH="1" flipV="1">
          <a:off x="6219825" y="6534150"/>
          <a:ext cx="66675" cy="30480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32</xdr:row>
      <xdr:rowOff>19050</xdr:rowOff>
    </xdr:from>
    <xdr:to>
      <xdr:col>7</xdr:col>
      <xdr:colOff>9525</xdr:colOff>
      <xdr:row>32</xdr:row>
      <xdr:rowOff>123825</xdr:rowOff>
    </xdr:to>
    <xdr:sp>
      <xdr:nvSpPr>
        <xdr:cNvPr id="261" name="Freeform 620"/>
        <xdr:cNvSpPr>
          <a:spLocks/>
        </xdr:cNvSpPr>
      </xdr:nvSpPr>
      <xdr:spPr>
        <a:xfrm>
          <a:off x="6286500" y="6838950"/>
          <a:ext cx="152400" cy="104775"/>
        </a:xfrm>
        <a:custGeom>
          <a:pathLst>
            <a:path h="11" w="16">
              <a:moveTo>
                <a:pt x="0" y="0"/>
              </a:moveTo>
              <a:cubicBezTo>
                <a:pt x="0" y="0"/>
                <a:pt x="1" y="1"/>
                <a:pt x="1" y="2"/>
              </a:cubicBezTo>
              <a:cubicBezTo>
                <a:pt x="1" y="3"/>
                <a:pt x="2" y="5"/>
                <a:pt x="3" y="6"/>
              </a:cubicBezTo>
              <a:cubicBezTo>
                <a:pt x="4" y="7"/>
                <a:pt x="4" y="8"/>
                <a:pt x="5" y="9"/>
              </a:cubicBezTo>
              <a:cubicBezTo>
                <a:pt x="6" y="10"/>
                <a:pt x="8" y="11"/>
                <a:pt x="9" y="11"/>
              </a:cubicBezTo>
              <a:cubicBezTo>
                <a:pt x="10" y="11"/>
                <a:pt x="11" y="11"/>
                <a:pt x="12" y="11"/>
              </a:cubicBezTo>
              <a:cubicBezTo>
                <a:pt x="13" y="11"/>
                <a:pt x="14" y="11"/>
                <a:pt x="16" y="11"/>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22</xdr:row>
      <xdr:rowOff>76200</xdr:rowOff>
    </xdr:from>
    <xdr:to>
      <xdr:col>2</xdr:col>
      <xdr:colOff>952500</xdr:colOff>
      <xdr:row>22</xdr:row>
      <xdr:rowOff>76200</xdr:rowOff>
    </xdr:to>
    <xdr:sp>
      <xdr:nvSpPr>
        <xdr:cNvPr id="262" name="Line 621"/>
        <xdr:cNvSpPr>
          <a:spLocks/>
        </xdr:cNvSpPr>
      </xdr:nvSpPr>
      <xdr:spPr>
        <a:xfrm>
          <a:off x="2028825" y="4953000"/>
          <a:ext cx="4667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22</xdr:row>
      <xdr:rowOff>95250</xdr:rowOff>
    </xdr:from>
    <xdr:to>
      <xdr:col>3</xdr:col>
      <xdr:colOff>533400</xdr:colOff>
      <xdr:row>22</xdr:row>
      <xdr:rowOff>95250</xdr:rowOff>
    </xdr:to>
    <xdr:sp>
      <xdr:nvSpPr>
        <xdr:cNvPr id="263" name="Line 622"/>
        <xdr:cNvSpPr>
          <a:spLocks/>
        </xdr:cNvSpPr>
      </xdr:nvSpPr>
      <xdr:spPr>
        <a:xfrm flipV="1">
          <a:off x="2886075" y="4972050"/>
          <a:ext cx="1524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22</xdr:row>
      <xdr:rowOff>95250</xdr:rowOff>
    </xdr:from>
    <xdr:to>
      <xdr:col>4</xdr:col>
      <xdr:colOff>104775</xdr:colOff>
      <xdr:row>23</xdr:row>
      <xdr:rowOff>66675</xdr:rowOff>
    </xdr:to>
    <xdr:sp>
      <xdr:nvSpPr>
        <xdr:cNvPr id="264" name="Freeform 623"/>
        <xdr:cNvSpPr>
          <a:spLocks/>
        </xdr:cNvSpPr>
      </xdr:nvSpPr>
      <xdr:spPr>
        <a:xfrm>
          <a:off x="3048000" y="4972050"/>
          <a:ext cx="523875" cy="180975"/>
        </a:xfrm>
        <a:custGeom>
          <a:pathLst>
            <a:path h="16" w="55">
              <a:moveTo>
                <a:pt x="0" y="0"/>
              </a:moveTo>
              <a:cubicBezTo>
                <a:pt x="11" y="0"/>
                <a:pt x="22" y="1"/>
                <a:pt x="31" y="4"/>
              </a:cubicBezTo>
              <a:cubicBezTo>
                <a:pt x="40" y="7"/>
                <a:pt x="51" y="14"/>
                <a:pt x="55" y="16"/>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23</xdr:row>
      <xdr:rowOff>66675</xdr:rowOff>
    </xdr:from>
    <xdr:to>
      <xdr:col>5</xdr:col>
      <xdr:colOff>819150</xdr:colOff>
      <xdr:row>30</xdr:row>
      <xdr:rowOff>85725</xdr:rowOff>
    </xdr:to>
    <xdr:sp>
      <xdr:nvSpPr>
        <xdr:cNvPr id="265" name="Line 624"/>
        <xdr:cNvSpPr>
          <a:spLocks/>
        </xdr:cNvSpPr>
      </xdr:nvSpPr>
      <xdr:spPr>
        <a:xfrm>
          <a:off x="3571875" y="5153025"/>
          <a:ext cx="1752600" cy="137160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819150</xdr:colOff>
      <xdr:row>30</xdr:row>
      <xdr:rowOff>85725</xdr:rowOff>
    </xdr:from>
    <xdr:to>
      <xdr:col>6</xdr:col>
      <xdr:colOff>247650</xdr:colOff>
      <xdr:row>30</xdr:row>
      <xdr:rowOff>85725</xdr:rowOff>
    </xdr:to>
    <xdr:sp>
      <xdr:nvSpPr>
        <xdr:cNvPr id="266" name="Line 625"/>
        <xdr:cNvSpPr>
          <a:spLocks/>
        </xdr:cNvSpPr>
      </xdr:nvSpPr>
      <xdr:spPr>
        <a:xfrm>
          <a:off x="5324475" y="6524625"/>
          <a:ext cx="390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30</xdr:row>
      <xdr:rowOff>95250</xdr:rowOff>
    </xdr:from>
    <xdr:to>
      <xdr:col>7</xdr:col>
      <xdr:colOff>66675</xdr:colOff>
      <xdr:row>30</xdr:row>
      <xdr:rowOff>95250</xdr:rowOff>
    </xdr:to>
    <xdr:sp>
      <xdr:nvSpPr>
        <xdr:cNvPr id="267" name="Line 626"/>
        <xdr:cNvSpPr>
          <a:spLocks/>
        </xdr:cNvSpPr>
      </xdr:nvSpPr>
      <xdr:spPr>
        <a:xfrm>
          <a:off x="6153150" y="6534150"/>
          <a:ext cx="3429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30</xdr:row>
      <xdr:rowOff>104775</xdr:rowOff>
    </xdr:from>
    <xdr:to>
      <xdr:col>6</xdr:col>
      <xdr:colOff>952500</xdr:colOff>
      <xdr:row>30</xdr:row>
      <xdr:rowOff>104775</xdr:rowOff>
    </xdr:to>
    <xdr:sp>
      <xdr:nvSpPr>
        <xdr:cNvPr id="268" name="Line 627"/>
        <xdr:cNvSpPr>
          <a:spLocks/>
        </xdr:cNvSpPr>
      </xdr:nvSpPr>
      <xdr:spPr>
        <a:xfrm>
          <a:off x="6419850" y="6543675"/>
          <a:ext cx="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29</xdr:row>
      <xdr:rowOff>123825</xdr:rowOff>
    </xdr:from>
    <xdr:to>
      <xdr:col>7</xdr:col>
      <xdr:colOff>295275</xdr:colOff>
      <xdr:row>30</xdr:row>
      <xdr:rowOff>95250</xdr:rowOff>
    </xdr:to>
    <xdr:sp>
      <xdr:nvSpPr>
        <xdr:cNvPr id="269" name="Line 628"/>
        <xdr:cNvSpPr>
          <a:spLocks/>
        </xdr:cNvSpPr>
      </xdr:nvSpPr>
      <xdr:spPr>
        <a:xfrm flipV="1">
          <a:off x="6496050" y="6372225"/>
          <a:ext cx="228600" cy="1619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29</xdr:row>
      <xdr:rowOff>76200</xdr:rowOff>
    </xdr:from>
    <xdr:to>
      <xdr:col>7</xdr:col>
      <xdr:colOff>304800</xdr:colOff>
      <xdr:row>29</xdr:row>
      <xdr:rowOff>123825</xdr:rowOff>
    </xdr:to>
    <xdr:sp>
      <xdr:nvSpPr>
        <xdr:cNvPr id="270" name="Line 629"/>
        <xdr:cNvSpPr>
          <a:spLocks/>
        </xdr:cNvSpPr>
      </xdr:nvSpPr>
      <xdr:spPr>
        <a:xfrm>
          <a:off x="6734175" y="6324600"/>
          <a:ext cx="0" cy="476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7</xdr:row>
      <xdr:rowOff>190500</xdr:rowOff>
    </xdr:from>
    <xdr:to>
      <xdr:col>5</xdr:col>
      <xdr:colOff>400050</xdr:colOff>
      <xdr:row>10</xdr:row>
      <xdr:rowOff>142875</xdr:rowOff>
    </xdr:to>
    <xdr:sp>
      <xdr:nvSpPr>
        <xdr:cNvPr id="271" name="Line 630"/>
        <xdr:cNvSpPr>
          <a:spLocks/>
        </xdr:cNvSpPr>
      </xdr:nvSpPr>
      <xdr:spPr>
        <a:xfrm>
          <a:off x="4905375" y="1695450"/>
          <a:ext cx="0" cy="6953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8</xdr:row>
      <xdr:rowOff>190500</xdr:rowOff>
    </xdr:from>
    <xdr:to>
      <xdr:col>5</xdr:col>
      <xdr:colOff>400050</xdr:colOff>
      <xdr:row>11</xdr:row>
      <xdr:rowOff>142875</xdr:rowOff>
    </xdr:to>
    <xdr:sp>
      <xdr:nvSpPr>
        <xdr:cNvPr id="272" name="Line 631"/>
        <xdr:cNvSpPr>
          <a:spLocks/>
        </xdr:cNvSpPr>
      </xdr:nvSpPr>
      <xdr:spPr>
        <a:xfrm>
          <a:off x="4905375" y="1943100"/>
          <a:ext cx="0" cy="695325"/>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9</xdr:row>
      <xdr:rowOff>28575</xdr:rowOff>
    </xdr:from>
    <xdr:to>
      <xdr:col>4</xdr:col>
      <xdr:colOff>238125</xdr:colOff>
      <xdr:row>9</xdr:row>
      <xdr:rowOff>219075</xdr:rowOff>
    </xdr:to>
    <xdr:sp>
      <xdr:nvSpPr>
        <xdr:cNvPr id="273" name="Text Box 632"/>
        <xdr:cNvSpPr txBox="1">
          <a:spLocks noChangeArrowheads="1"/>
        </xdr:cNvSpPr>
      </xdr:nvSpPr>
      <xdr:spPr>
        <a:xfrm>
          <a:off x="3209925" y="202882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704850</xdr:colOff>
      <xdr:row>10</xdr:row>
      <xdr:rowOff>28575</xdr:rowOff>
    </xdr:from>
    <xdr:to>
      <xdr:col>4</xdr:col>
      <xdr:colOff>238125</xdr:colOff>
      <xdr:row>10</xdr:row>
      <xdr:rowOff>219075</xdr:rowOff>
    </xdr:to>
    <xdr:sp>
      <xdr:nvSpPr>
        <xdr:cNvPr id="274" name="Text Box 633"/>
        <xdr:cNvSpPr txBox="1">
          <a:spLocks noChangeArrowheads="1"/>
        </xdr:cNvSpPr>
      </xdr:nvSpPr>
      <xdr:spPr>
        <a:xfrm>
          <a:off x="3209925" y="22764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704850</xdr:colOff>
      <xdr:row>11</xdr:row>
      <xdr:rowOff>19050</xdr:rowOff>
    </xdr:from>
    <xdr:to>
      <xdr:col>4</xdr:col>
      <xdr:colOff>238125</xdr:colOff>
      <xdr:row>11</xdr:row>
      <xdr:rowOff>209550</xdr:rowOff>
    </xdr:to>
    <xdr:sp>
      <xdr:nvSpPr>
        <xdr:cNvPr id="275" name="Text Box 634"/>
        <xdr:cNvSpPr txBox="1">
          <a:spLocks noChangeArrowheads="1"/>
        </xdr:cNvSpPr>
      </xdr:nvSpPr>
      <xdr:spPr>
        <a:xfrm>
          <a:off x="3209925" y="2514600"/>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704850</xdr:colOff>
      <xdr:row>12</xdr:row>
      <xdr:rowOff>28575</xdr:rowOff>
    </xdr:from>
    <xdr:to>
      <xdr:col>4</xdr:col>
      <xdr:colOff>238125</xdr:colOff>
      <xdr:row>12</xdr:row>
      <xdr:rowOff>219075</xdr:rowOff>
    </xdr:to>
    <xdr:sp>
      <xdr:nvSpPr>
        <xdr:cNvPr id="276" name="Text Box 635"/>
        <xdr:cNvSpPr txBox="1">
          <a:spLocks noChangeArrowheads="1"/>
        </xdr:cNvSpPr>
      </xdr:nvSpPr>
      <xdr:spPr>
        <a:xfrm>
          <a:off x="3209925" y="27717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7</xdr:col>
      <xdr:colOff>428625</xdr:colOff>
      <xdr:row>39</xdr:row>
      <xdr:rowOff>9525</xdr:rowOff>
    </xdr:from>
    <xdr:to>
      <xdr:col>7</xdr:col>
      <xdr:colOff>571500</xdr:colOff>
      <xdr:row>39</xdr:row>
      <xdr:rowOff>95250</xdr:rowOff>
    </xdr:to>
    <xdr:sp>
      <xdr:nvSpPr>
        <xdr:cNvPr id="277" name="Line 638"/>
        <xdr:cNvSpPr>
          <a:spLocks/>
        </xdr:cNvSpPr>
      </xdr:nvSpPr>
      <xdr:spPr>
        <a:xfrm flipH="1" flipV="1">
          <a:off x="6858000" y="8172450"/>
          <a:ext cx="142875" cy="85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37</xdr:row>
      <xdr:rowOff>171450</xdr:rowOff>
    </xdr:from>
    <xdr:to>
      <xdr:col>8</xdr:col>
      <xdr:colOff>142875</xdr:colOff>
      <xdr:row>39</xdr:row>
      <xdr:rowOff>85725</xdr:rowOff>
    </xdr:to>
    <xdr:sp>
      <xdr:nvSpPr>
        <xdr:cNvPr id="278" name="Line 639"/>
        <xdr:cNvSpPr>
          <a:spLocks/>
        </xdr:cNvSpPr>
      </xdr:nvSpPr>
      <xdr:spPr>
        <a:xfrm flipH="1">
          <a:off x="7143750" y="7972425"/>
          <a:ext cx="390525" cy="276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39</xdr:row>
      <xdr:rowOff>85725</xdr:rowOff>
    </xdr:from>
    <xdr:to>
      <xdr:col>7</xdr:col>
      <xdr:colOff>714375</xdr:colOff>
      <xdr:row>39</xdr:row>
      <xdr:rowOff>114300</xdr:rowOff>
    </xdr:to>
    <xdr:sp>
      <xdr:nvSpPr>
        <xdr:cNvPr id="279" name="Freeform 641"/>
        <xdr:cNvSpPr>
          <a:spLocks/>
        </xdr:cNvSpPr>
      </xdr:nvSpPr>
      <xdr:spPr>
        <a:xfrm>
          <a:off x="7000875" y="8248650"/>
          <a:ext cx="142875" cy="28575"/>
        </a:xfrm>
        <a:custGeom>
          <a:pathLst>
            <a:path h="3" w="15">
              <a:moveTo>
                <a:pt x="0" y="1"/>
              </a:moveTo>
              <a:cubicBezTo>
                <a:pt x="1" y="2"/>
                <a:pt x="3" y="3"/>
                <a:pt x="5" y="3"/>
              </a:cubicBezTo>
              <a:cubicBezTo>
                <a:pt x="7" y="3"/>
                <a:pt x="9" y="3"/>
                <a:pt x="11" y="2"/>
              </a:cubicBezTo>
              <a:cubicBezTo>
                <a:pt x="13" y="1"/>
                <a:pt x="14" y="0"/>
                <a:pt x="15" y="0"/>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10</xdr:row>
      <xdr:rowOff>28575</xdr:rowOff>
    </xdr:from>
    <xdr:to>
      <xdr:col>4</xdr:col>
      <xdr:colOff>238125</xdr:colOff>
      <xdr:row>10</xdr:row>
      <xdr:rowOff>219075</xdr:rowOff>
    </xdr:to>
    <xdr:sp>
      <xdr:nvSpPr>
        <xdr:cNvPr id="280" name="Text Box 642"/>
        <xdr:cNvSpPr txBox="1">
          <a:spLocks noChangeArrowheads="1"/>
        </xdr:cNvSpPr>
      </xdr:nvSpPr>
      <xdr:spPr>
        <a:xfrm>
          <a:off x="3209925" y="22764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3</xdr:col>
      <xdr:colOff>704850</xdr:colOff>
      <xdr:row>12</xdr:row>
      <xdr:rowOff>28575</xdr:rowOff>
    </xdr:from>
    <xdr:to>
      <xdr:col>4</xdr:col>
      <xdr:colOff>238125</xdr:colOff>
      <xdr:row>12</xdr:row>
      <xdr:rowOff>219075</xdr:rowOff>
    </xdr:to>
    <xdr:sp>
      <xdr:nvSpPr>
        <xdr:cNvPr id="281" name="Text Box 644"/>
        <xdr:cNvSpPr txBox="1">
          <a:spLocks noChangeArrowheads="1"/>
        </xdr:cNvSpPr>
      </xdr:nvSpPr>
      <xdr:spPr>
        <a:xfrm>
          <a:off x="3209925" y="2771775"/>
          <a:ext cx="495300" cy="19050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
          </a:r>
        </a:p>
      </xdr:txBody>
    </xdr:sp>
    <xdr:clientData/>
  </xdr:twoCellAnchor>
  <xdr:twoCellAnchor>
    <xdr:from>
      <xdr:col>10</xdr:col>
      <xdr:colOff>0</xdr:colOff>
      <xdr:row>49</xdr:row>
      <xdr:rowOff>0</xdr:rowOff>
    </xdr:from>
    <xdr:to>
      <xdr:col>10</xdr:col>
      <xdr:colOff>0</xdr:colOff>
      <xdr:row>49</xdr:row>
      <xdr:rowOff>0</xdr:rowOff>
    </xdr:to>
    <xdr:sp>
      <xdr:nvSpPr>
        <xdr:cNvPr id="282" name="Line 646"/>
        <xdr:cNvSpPr>
          <a:spLocks/>
        </xdr:cNvSpPr>
      </xdr:nvSpPr>
      <xdr:spPr>
        <a:xfrm>
          <a:off x="8782050" y="10086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42</xdr:row>
      <xdr:rowOff>133350</xdr:rowOff>
    </xdr:from>
    <xdr:to>
      <xdr:col>7</xdr:col>
      <xdr:colOff>47625</xdr:colOff>
      <xdr:row>45</xdr:row>
      <xdr:rowOff>180975</xdr:rowOff>
    </xdr:to>
    <xdr:sp>
      <xdr:nvSpPr>
        <xdr:cNvPr id="283" name="Line 647"/>
        <xdr:cNvSpPr>
          <a:spLocks/>
        </xdr:cNvSpPr>
      </xdr:nvSpPr>
      <xdr:spPr>
        <a:xfrm flipH="1">
          <a:off x="6477000" y="88677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10</xdr:col>
      <xdr:colOff>0</xdr:colOff>
      <xdr:row>49</xdr:row>
      <xdr:rowOff>0</xdr:rowOff>
    </xdr:to>
    <xdr:sp>
      <xdr:nvSpPr>
        <xdr:cNvPr id="284" name="Line 648"/>
        <xdr:cNvSpPr>
          <a:spLocks/>
        </xdr:cNvSpPr>
      </xdr:nvSpPr>
      <xdr:spPr>
        <a:xfrm flipH="1">
          <a:off x="8782050" y="10086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10</xdr:col>
      <xdr:colOff>0</xdr:colOff>
      <xdr:row>49</xdr:row>
      <xdr:rowOff>0</xdr:rowOff>
    </xdr:to>
    <xdr:sp>
      <xdr:nvSpPr>
        <xdr:cNvPr id="285" name="Line 649"/>
        <xdr:cNvSpPr>
          <a:spLocks/>
        </xdr:cNvSpPr>
      </xdr:nvSpPr>
      <xdr:spPr>
        <a:xfrm flipH="1">
          <a:off x="8782050" y="10086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42</xdr:row>
      <xdr:rowOff>133350</xdr:rowOff>
    </xdr:from>
    <xdr:to>
      <xdr:col>5</xdr:col>
      <xdr:colOff>847725</xdr:colOff>
      <xdr:row>45</xdr:row>
      <xdr:rowOff>180975</xdr:rowOff>
    </xdr:to>
    <xdr:sp>
      <xdr:nvSpPr>
        <xdr:cNvPr id="286" name="Line 650"/>
        <xdr:cNvSpPr>
          <a:spLocks/>
        </xdr:cNvSpPr>
      </xdr:nvSpPr>
      <xdr:spPr>
        <a:xfrm flipH="1">
          <a:off x="5353050" y="88677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847725</xdr:colOff>
      <xdr:row>44</xdr:row>
      <xdr:rowOff>161925</xdr:rowOff>
    </xdr:from>
    <xdr:to>
      <xdr:col>7</xdr:col>
      <xdr:colOff>47625</xdr:colOff>
      <xdr:row>44</xdr:row>
      <xdr:rowOff>171450</xdr:rowOff>
    </xdr:to>
    <xdr:sp>
      <xdr:nvSpPr>
        <xdr:cNvPr id="287" name="Freeform 654"/>
        <xdr:cNvSpPr>
          <a:spLocks/>
        </xdr:cNvSpPr>
      </xdr:nvSpPr>
      <xdr:spPr>
        <a:xfrm>
          <a:off x="5353050" y="9277350"/>
          <a:ext cx="1123950" cy="9525"/>
        </a:xfrm>
        <a:custGeom>
          <a:pathLst>
            <a:path h="1" w="118">
              <a:moveTo>
                <a:pt x="0" y="0"/>
              </a:moveTo>
              <a:lnTo>
                <a:pt x="118" y="0"/>
              </a:lnTo>
            </a:path>
          </a:pathLst>
        </a:cu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52</xdr:row>
      <xdr:rowOff>0</xdr:rowOff>
    </xdr:from>
    <xdr:to>
      <xdr:col>6</xdr:col>
      <xdr:colOff>885825</xdr:colOff>
      <xdr:row>52</xdr:row>
      <xdr:rowOff>0</xdr:rowOff>
    </xdr:to>
    <xdr:sp>
      <xdr:nvSpPr>
        <xdr:cNvPr id="288" name="Line 655"/>
        <xdr:cNvSpPr>
          <a:spLocks/>
        </xdr:cNvSpPr>
      </xdr:nvSpPr>
      <xdr:spPr>
        <a:xfrm>
          <a:off x="5172075" y="10658475"/>
          <a:ext cx="118110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51</xdr:row>
      <xdr:rowOff>171450</xdr:rowOff>
    </xdr:from>
    <xdr:to>
      <xdr:col>6</xdr:col>
      <xdr:colOff>904875</xdr:colOff>
      <xdr:row>51</xdr:row>
      <xdr:rowOff>171450</xdr:rowOff>
    </xdr:to>
    <xdr:sp>
      <xdr:nvSpPr>
        <xdr:cNvPr id="289" name="Line 656"/>
        <xdr:cNvSpPr>
          <a:spLocks/>
        </xdr:cNvSpPr>
      </xdr:nvSpPr>
      <xdr:spPr>
        <a:xfrm>
          <a:off x="5200650" y="10639425"/>
          <a:ext cx="1171575"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50</xdr:row>
      <xdr:rowOff>171450</xdr:rowOff>
    </xdr:from>
    <xdr:to>
      <xdr:col>7</xdr:col>
      <xdr:colOff>933450</xdr:colOff>
      <xdr:row>50</xdr:row>
      <xdr:rowOff>171450</xdr:rowOff>
    </xdr:to>
    <xdr:sp>
      <xdr:nvSpPr>
        <xdr:cNvPr id="290" name="Line 657"/>
        <xdr:cNvSpPr>
          <a:spLocks/>
        </xdr:cNvSpPr>
      </xdr:nvSpPr>
      <xdr:spPr>
        <a:xfrm flipV="1">
          <a:off x="6867525" y="10448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49</xdr:row>
      <xdr:rowOff>133350</xdr:rowOff>
    </xdr:from>
    <xdr:to>
      <xdr:col>2</xdr:col>
      <xdr:colOff>38100</xdr:colOff>
      <xdr:row>49</xdr:row>
      <xdr:rowOff>133350</xdr:rowOff>
    </xdr:to>
    <xdr:pic>
      <xdr:nvPicPr>
        <xdr:cNvPr id="291" name="Picture 658" descr="NRCSb_w"/>
        <xdr:cNvPicPr preferRelativeResize="1">
          <a:picLocks noChangeAspect="1"/>
        </xdr:cNvPicPr>
      </xdr:nvPicPr>
      <xdr:blipFill>
        <a:blip r:embed="rId1"/>
        <a:stretch>
          <a:fillRect/>
        </a:stretch>
      </xdr:blipFill>
      <xdr:spPr>
        <a:xfrm>
          <a:off x="19050" y="10220325"/>
          <a:ext cx="1562100" cy="0"/>
        </a:xfrm>
        <a:prstGeom prst="rect">
          <a:avLst/>
        </a:prstGeom>
        <a:noFill/>
        <a:ln w="9525" cmpd="sng">
          <a:noFill/>
        </a:ln>
      </xdr:spPr>
    </xdr:pic>
    <xdr:clientData/>
  </xdr:twoCellAnchor>
  <xdr:twoCellAnchor>
    <xdr:from>
      <xdr:col>9</xdr:col>
      <xdr:colOff>428625</xdr:colOff>
      <xdr:row>53</xdr:row>
      <xdr:rowOff>85725</xdr:rowOff>
    </xdr:from>
    <xdr:to>
      <xdr:col>10</xdr:col>
      <xdr:colOff>0</xdr:colOff>
      <xdr:row>53</xdr:row>
      <xdr:rowOff>171450</xdr:rowOff>
    </xdr:to>
    <xdr:sp>
      <xdr:nvSpPr>
        <xdr:cNvPr id="292" name="Text Box 659"/>
        <xdr:cNvSpPr txBox="1">
          <a:spLocks noChangeArrowheads="1"/>
        </xdr:cNvSpPr>
      </xdr:nvSpPr>
      <xdr:spPr>
        <a:xfrm>
          <a:off x="8782050" y="10934700"/>
          <a:ext cx="0" cy="857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Of</a:t>
          </a:r>
        </a:p>
      </xdr:txBody>
    </xdr:sp>
    <xdr:clientData/>
  </xdr:twoCellAnchor>
  <xdr:twoCellAnchor>
    <xdr:from>
      <xdr:col>9</xdr:col>
      <xdr:colOff>9525</xdr:colOff>
      <xdr:row>52</xdr:row>
      <xdr:rowOff>104775</xdr:rowOff>
    </xdr:from>
    <xdr:to>
      <xdr:col>10</xdr:col>
      <xdr:colOff>0</xdr:colOff>
      <xdr:row>52</xdr:row>
      <xdr:rowOff>104775</xdr:rowOff>
    </xdr:to>
    <xdr:sp>
      <xdr:nvSpPr>
        <xdr:cNvPr id="293" name="Line 660"/>
        <xdr:cNvSpPr>
          <a:spLocks/>
        </xdr:cNvSpPr>
      </xdr:nvSpPr>
      <xdr:spPr>
        <a:xfrm>
          <a:off x="8362950" y="1076325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104775</xdr:rowOff>
    </xdr:from>
    <xdr:to>
      <xdr:col>9</xdr:col>
      <xdr:colOff>428625</xdr:colOff>
      <xdr:row>50</xdr:row>
      <xdr:rowOff>104775</xdr:rowOff>
    </xdr:to>
    <xdr:sp>
      <xdr:nvSpPr>
        <xdr:cNvPr id="294" name="Line 661"/>
        <xdr:cNvSpPr>
          <a:spLocks/>
        </xdr:cNvSpPr>
      </xdr:nvSpPr>
      <xdr:spPr>
        <a:xfrm>
          <a:off x="8353425" y="10382250"/>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49</xdr:row>
      <xdr:rowOff>95250</xdr:rowOff>
    </xdr:from>
    <xdr:to>
      <xdr:col>2</xdr:col>
      <xdr:colOff>114300</xdr:colOff>
      <xdr:row>51</xdr:row>
      <xdr:rowOff>114300</xdr:rowOff>
    </xdr:to>
    <xdr:pic>
      <xdr:nvPicPr>
        <xdr:cNvPr id="295" name="Picture 662" descr="NRCSb_w"/>
        <xdr:cNvPicPr preferRelativeResize="1">
          <a:picLocks noChangeAspect="1"/>
        </xdr:cNvPicPr>
      </xdr:nvPicPr>
      <xdr:blipFill>
        <a:blip r:embed="rId1"/>
        <a:stretch>
          <a:fillRect/>
        </a:stretch>
      </xdr:blipFill>
      <xdr:spPr>
        <a:xfrm>
          <a:off x="95250" y="10182225"/>
          <a:ext cx="1562100" cy="400050"/>
        </a:xfrm>
        <a:prstGeom prst="rect">
          <a:avLst/>
        </a:prstGeom>
        <a:noFill/>
        <a:ln w="9525" cmpd="sng">
          <a:noFill/>
        </a:ln>
      </xdr:spPr>
    </xdr:pic>
    <xdr:clientData/>
  </xdr:twoCellAnchor>
  <xdr:twoCellAnchor>
    <xdr:from>
      <xdr:col>7</xdr:col>
      <xdr:colOff>0</xdr:colOff>
      <xdr:row>50</xdr:row>
      <xdr:rowOff>47625</xdr:rowOff>
    </xdr:from>
    <xdr:to>
      <xdr:col>7</xdr:col>
      <xdr:colOff>409575</xdr:colOff>
      <xdr:row>50</xdr:row>
      <xdr:rowOff>161925</xdr:rowOff>
    </xdr:to>
    <xdr:sp>
      <xdr:nvSpPr>
        <xdr:cNvPr id="296" name="Text Box 664"/>
        <xdr:cNvSpPr txBox="1">
          <a:spLocks noChangeArrowheads="1"/>
        </xdr:cNvSpPr>
      </xdr:nvSpPr>
      <xdr:spPr>
        <a:xfrm>
          <a:off x="6429375" y="10325100"/>
          <a:ext cx="409575" cy="114300"/>
        </a:xfrm>
        <a:prstGeom prst="rect">
          <a:avLst/>
        </a:prstGeom>
        <a:noFill/>
        <a:ln w="12700"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Designed</a:t>
          </a:r>
        </a:p>
      </xdr:txBody>
    </xdr:sp>
    <xdr:clientData/>
  </xdr:twoCellAnchor>
  <xdr:twoCellAnchor>
    <xdr:from>
      <xdr:col>7</xdr:col>
      <xdr:colOff>428625</xdr:colOff>
      <xdr:row>51</xdr:row>
      <xdr:rowOff>152400</xdr:rowOff>
    </xdr:from>
    <xdr:to>
      <xdr:col>8</xdr:col>
      <xdr:colOff>19050</xdr:colOff>
      <xdr:row>51</xdr:row>
      <xdr:rowOff>152400</xdr:rowOff>
    </xdr:to>
    <xdr:sp>
      <xdr:nvSpPr>
        <xdr:cNvPr id="297" name="Line 665"/>
        <xdr:cNvSpPr>
          <a:spLocks/>
        </xdr:cNvSpPr>
      </xdr:nvSpPr>
      <xdr:spPr>
        <a:xfrm>
          <a:off x="6858000" y="10620375"/>
          <a:ext cx="5524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51</xdr:row>
      <xdr:rowOff>171450</xdr:rowOff>
    </xdr:from>
    <xdr:to>
      <xdr:col>7</xdr:col>
      <xdr:colOff>942975</xdr:colOff>
      <xdr:row>51</xdr:row>
      <xdr:rowOff>171450</xdr:rowOff>
    </xdr:to>
    <xdr:sp>
      <xdr:nvSpPr>
        <xdr:cNvPr id="298" name="Line 666"/>
        <xdr:cNvSpPr>
          <a:spLocks/>
        </xdr:cNvSpPr>
      </xdr:nvSpPr>
      <xdr:spPr>
        <a:xfrm flipV="1">
          <a:off x="6877050" y="106394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52</xdr:row>
      <xdr:rowOff>161925</xdr:rowOff>
    </xdr:from>
    <xdr:to>
      <xdr:col>7</xdr:col>
      <xdr:colOff>942975</xdr:colOff>
      <xdr:row>52</xdr:row>
      <xdr:rowOff>161925</xdr:rowOff>
    </xdr:to>
    <xdr:sp>
      <xdr:nvSpPr>
        <xdr:cNvPr id="299" name="Line 667"/>
        <xdr:cNvSpPr>
          <a:spLocks/>
        </xdr:cNvSpPr>
      </xdr:nvSpPr>
      <xdr:spPr>
        <a:xfrm flipV="1">
          <a:off x="6877050" y="10820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53</xdr:row>
      <xdr:rowOff>180975</xdr:rowOff>
    </xdr:from>
    <xdr:to>
      <xdr:col>7</xdr:col>
      <xdr:colOff>942975</xdr:colOff>
      <xdr:row>53</xdr:row>
      <xdr:rowOff>180975</xdr:rowOff>
    </xdr:to>
    <xdr:sp>
      <xdr:nvSpPr>
        <xdr:cNvPr id="300" name="Line 668"/>
        <xdr:cNvSpPr>
          <a:spLocks/>
        </xdr:cNvSpPr>
      </xdr:nvSpPr>
      <xdr:spPr>
        <a:xfrm flipV="1">
          <a:off x="6877050" y="110299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50</xdr:row>
      <xdr:rowOff>171450</xdr:rowOff>
    </xdr:from>
    <xdr:to>
      <xdr:col>8</xdr:col>
      <xdr:colOff>666750</xdr:colOff>
      <xdr:row>50</xdr:row>
      <xdr:rowOff>171450</xdr:rowOff>
    </xdr:to>
    <xdr:sp>
      <xdr:nvSpPr>
        <xdr:cNvPr id="301" name="Line 669"/>
        <xdr:cNvSpPr>
          <a:spLocks/>
        </xdr:cNvSpPr>
      </xdr:nvSpPr>
      <xdr:spPr>
        <a:xfrm flipV="1">
          <a:off x="7562850" y="10448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51</xdr:row>
      <xdr:rowOff>171450</xdr:rowOff>
    </xdr:from>
    <xdr:to>
      <xdr:col>8</xdr:col>
      <xdr:colOff>676275</xdr:colOff>
      <xdr:row>51</xdr:row>
      <xdr:rowOff>171450</xdr:rowOff>
    </xdr:to>
    <xdr:sp>
      <xdr:nvSpPr>
        <xdr:cNvPr id="302" name="Line 670"/>
        <xdr:cNvSpPr>
          <a:spLocks/>
        </xdr:cNvSpPr>
      </xdr:nvSpPr>
      <xdr:spPr>
        <a:xfrm flipV="1">
          <a:off x="7572375" y="106394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52</xdr:row>
      <xdr:rowOff>161925</xdr:rowOff>
    </xdr:from>
    <xdr:to>
      <xdr:col>8</xdr:col>
      <xdr:colOff>676275</xdr:colOff>
      <xdr:row>52</xdr:row>
      <xdr:rowOff>161925</xdr:rowOff>
    </xdr:to>
    <xdr:sp>
      <xdr:nvSpPr>
        <xdr:cNvPr id="303" name="Line 671"/>
        <xdr:cNvSpPr>
          <a:spLocks/>
        </xdr:cNvSpPr>
      </xdr:nvSpPr>
      <xdr:spPr>
        <a:xfrm flipV="1">
          <a:off x="7572375" y="10820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53</xdr:row>
      <xdr:rowOff>180975</xdr:rowOff>
    </xdr:from>
    <xdr:to>
      <xdr:col>8</xdr:col>
      <xdr:colOff>676275</xdr:colOff>
      <xdr:row>53</xdr:row>
      <xdr:rowOff>180975</xdr:rowOff>
    </xdr:to>
    <xdr:sp>
      <xdr:nvSpPr>
        <xdr:cNvPr id="304" name="Line 672"/>
        <xdr:cNvSpPr>
          <a:spLocks/>
        </xdr:cNvSpPr>
      </xdr:nvSpPr>
      <xdr:spPr>
        <a:xfrm flipV="1">
          <a:off x="7572375" y="110299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51</xdr:row>
      <xdr:rowOff>133350</xdr:rowOff>
    </xdr:from>
    <xdr:to>
      <xdr:col>2</xdr:col>
      <xdr:colOff>495300</xdr:colOff>
      <xdr:row>53</xdr:row>
      <xdr:rowOff>0</xdr:rowOff>
    </xdr:to>
    <xdr:sp>
      <xdr:nvSpPr>
        <xdr:cNvPr id="305" name="Text Box 673"/>
        <xdr:cNvSpPr txBox="1">
          <a:spLocks noChangeArrowheads="1"/>
        </xdr:cNvSpPr>
      </xdr:nvSpPr>
      <xdr:spPr>
        <a:xfrm>
          <a:off x="590550" y="10601325"/>
          <a:ext cx="1447800" cy="2476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Narrow"/>
              <a:ea typeface="Arial Narrow"/>
              <a:cs typeface="Arial Narrow"/>
            </a:rPr>
            <a:t>Natural Resources Conservation Service
</a:t>
          </a:r>
          <a:r>
            <a:rPr lang="en-US" cap="none" sz="600" b="0" i="0" u="none" baseline="0">
              <a:solidFill>
                <a:srgbClr val="000000"/>
              </a:solidFill>
              <a:latin typeface="Arial Narrow"/>
              <a:ea typeface="Arial Narrow"/>
              <a:cs typeface="Arial Narrow"/>
            </a:rPr>
            <a:t>United States Department of Agriculture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54</xdr:row>
      <xdr:rowOff>133350</xdr:rowOff>
    </xdr:from>
    <xdr:to>
      <xdr:col>2</xdr:col>
      <xdr:colOff>762000</xdr:colOff>
      <xdr:row>54</xdr:row>
      <xdr:rowOff>133350</xdr:rowOff>
    </xdr:to>
    <xdr:sp>
      <xdr:nvSpPr>
        <xdr:cNvPr id="1" name="Line 6"/>
        <xdr:cNvSpPr>
          <a:spLocks/>
        </xdr:cNvSpPr>
      </xdr:nvSpPr>
      <xdr:spPr>
        <a:xfrm>
          <a:off x="2085975" y="11753850"/>
          <a:ext cx="23812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40</xdr:row>
      <xdr:rowOff>228600</xdr:rowOff>
    </xdr:from>
    <xdr:to>
      <xdr:col>7</xdr:col>
      <xdr:colOff>276225</xdr:colOff>
      <xdr:row>41</xdr:row>
      <xdr:rowOff>200025</xdr:rowOff>
    </xdr:to>
    <xdr:sp>
      <xdr:nvSpPr>
        <xdr:cNvPr id="2" name="Text Box 11"/>
        <xdr:cNvSpPr txBox="1">
          <a:spLocks noChangeArrowheads="1"/>
        </xdr:cNvSpPr>
      </xdr:nvSpPr>
      <xdr:spPr>
        <a:xfrm>
          <a:off x="4162425" y="8667750"/>
          <a:ext cx="1581150"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(Capacity in channel)</a:t>
          </a:r>
        </a:p>
      </xdr:txBody>
    </xdr:sp>
    <xdr:clientData/>
  </xdr:twoCellAnchor>
  <xdr:twoCellAnchor>
    <xdr:from>
      <xdr:col>5</xdr:col>
      <xdr:colOff>257175</xdr:colOff>
      <xdr:row>36</xdr:row>
      <xdr:rowOff>171450</xdr:rowOff>
    </xdr:from>
    <xdr:to>
      <xdr:col>6</xdr:col>
      <xdr:colOff>704850</xdr:colOff>
      <xdr:row>37</xdr:row>
      <xdr:rowOff>200025</xdr:rowOff>
    </xdr:to>
    <xdr:sp>
      <xdr:nvSpPr>
        <xdr:cNvPr id="3" name="Text Box 7"/>
        <xdr:cNvSpPr txBox="1">
          <a:spLocks noChangeArrowheads="1"/>
        </xdr:cNvSpPr>
      </xdr:nvSpPr>
      <xdr:spPr>
        <a:xfrm>
          <a:off x="4162425" y="7829550"/>
          <a:ext cx="1228725"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(Weir head)</a:t>
          </a:r>
        </a:p>
      </xdr:txBody>
    </xdr:sp>
    <xdr:clientData/>
  </xdr:twoCellAnchor>
  <xdr:twoCellAnchor>
    <xdr:from>
      <xdr:col>5</xdr:col>
      <xdr:colOff>266700</xdr:colOff>
      <xdr:row>37</xdr:row>
      <xdr:rowOff>190500</xdr:rowOff>
    </xdr:from>
    <xdr:to>
      <xdr:col>7</xdr:col>
      <xdr:colOff>352425</xdr:colOff>
      <xdr:row>38</xdr:row>
      <xdr:rowOff>161925</xdr:rowOff>
    </xdr:to>
    <xdr:sp>
      <xdr:nvSpPr>
        <xdr:cNvPr id="4" name="Text Box 8"/>
        <xdr:cNvSpPr txBox="1">
          <a:spLocks noChangeArrowheads="1"/>
        </xdr:cNvSpPr>
      </xdr:nvSpPr>
      <xdr:spPr>
        <a:xfrm>
          <a:off x="4171950" y="8029575"/>
          <a:ext cx="1647825" cy="180975"/>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(Flow area in channel)</a:t>
          </a:r>
        </a:p>
      </xdr:txBody>
    </xdr:sp>
    <xdr:clientData/>
  </xdr:twoCellAnchor>
  <xdr:twoCellAnchor>
    <xdr:from>
      <xdr:col>5</xdr:col>
      <xdr:colOff>266700</xdr:colOff>
      <xdr:row>39</xdr:row>
      <xdr:rowOff>0</xdr:rowOff>
    </xdr:from>
    <xdr:to>
      <xdr:col>7</xdr:col>
      <xdr:colOff>190500</xdr:colOff>
      <xdr:row>40</xdr:row>
      <xdr:rowOff>0</xdr:rowOff>
    </xdr:to>
    <xdr:sp>
      <xdr:nvSpPr>
        <xdr:cNvPr id="5" name="Text Box 9"/>
        <xdr:cNvSpPr txBox="1">
          <a:spLocks noChangeArrowheads="1"/>
        </xdr:cNvSpPr>
      </xdr:nvSpPr>
      <xdr:spPr>
        <a:xfrm>
          <a:off x="4171950" y="8229600"/>
          <a:ext cx="1485900"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(Approach velocity)</a:t>
          </a:r>
        </a:p>
      </xdr:txBody>
    </xdr:sp>
    <xdr:clientData/>
  </xdr:twoCellAnchor>
  <xdr:twoCellAnchor>
    <xdr:from>
      <xdr:col>5</xdr:col>
      <xdr:colOff>257175</xdr:colOff>
      <xdr:row>39</xdr:row>
      <xdr:rowOff>200025</xdr:rowOff>
    </xdr:from>
    <xdr:to>
      <xdr:col>8</xdr:col>
      <xdr:colOff>542925</xdr:colOff>
      <xdr:row>40</xdr:row>
      <xdr:rowOff>228600</xdr:rowOff>
    </xdr:to>
    <xdr:sp>
      <xdr:nvSpPr>
        <xdr:cNvPr id="6" name="Text Box 10"/>
        <xdr:cNvSpPr txBox="1">
          <a:spLocks noChangeArrowheads="1"/>
        </xdr:cNvSpPr>
      </xdr:nvSpPr>
      <xdr:spPr>
        <a:xfrm>
          <a:off x="4162425" y="8429625"/>
          <a:ext cx="2628900" cy="238125"/>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(Velocity head corresponding to H</a:t>
          </a:r>
          <a:r>
            <a:rPr lang="en-US" cap="none" sz="1100" b="0" i="0" u="none" baseline="-25000">
              <a:solidFill>
                <a:srgbClr val="000000"/>
              </a:solidFill>
              <a:latin typeface="Arial"/>
              <a:ea typeface="Arial"/>
              <a:cs typeface="Arial"/>
            </a:rPr>
            <a:t>p</a:t>
          </a:r>
          <a:r>
            <a:rPr lang="en-US" cap="none" sz="1100" b="0" i="0" u="none" baseline="0">
              <a:solidFill>
                <a:srgbClr val="000000"/>
              </a:solidFill>
              <a:latin typeface="Arial"/>
              <a:ea typeface="Arial"/>
              <a:cs typeface="Arial"/>
            </a:rPr>
            <a:t>)</a:t>
          </a:r>
        </a:p>
      </xdr:txBody>
    </xdr:sp>
    <xdr:clientData/>
  </xdr:twoCellAnchor>
  <xdr:twoCellAnchor>
    <xdr:from>
      <xdr:col>5</xdr:col>
      <xdr:colOff>238125</xdr:colOff>
      <xdr:row>46</xdr:row>
      <xdr:rowOff>0</xdr:rowOff>
    </xdr:from>
    <xdr:to>
      <xdr:col>7</xdr:col>
      <xdr:colOff>161925</xdr:colOff>
      <xdr:row>47</xdr:row>
      <xdr:rowOff>0</xdr:rowOff>
    </xdr:to>
    <xdr:sp>
      <xdr:nvSpPr>
        <xdr:cNvPr id="7" name="Text Box 14"/>
        <xdr:cNvSpPr txBox="1">
          <a:spLocks noChangeArrowheads="1"/>
        </xdr:cNvSpPr>
      </xdr:nvSpPr>
      <xdr:spPr>
        <a:xfrm>
          <a:off x="4143375" y="9667875"/>
          <a:ext cx="1485900"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(Approach velocity)</a:t>
          </a:r>
        </a:p>
      </xdr:txBody>
    </xdr:sp>
    <xdr:clientData/>
  </xdr:twoCellAnchor>
  <xdr:twoCellAnchor>
    <xdr:from>
      <xdr:col>5</xdr:col>
      <xdr:colOff>238125</xdr:colOff>
      <xdr:row>46</xdr:row>
      <xdr:rowOff>200025</xdr:rowOff>
    </xdr:from>
    <xdr:to>
      <xdr:col>8</xdr:col>
      <xdr:colOff>190500</xdr:colOff>
      <xdr:row>48</xdr:row>
      <xdr:rowOff>0</xdr:rowOff>
    </xdr:to>
    <xdr:sp>
      <xdr:nvSpPr>
        <xdr:cNvPr id="8" name="Text Box 15"/>
        <xdr:cNvSpPr txBox="1">
          <a:spLocks noChangeArrowheads="1"/>
        </xdr:cNvSpPr>
      </xdr:nvSpPr>
      <xdr:spPr>
        <a:xfrm>
          <a:off x="4143375" y="9867900"/>
          <a:ext cx="2295525" cy="2476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(Velocity head corresponding to H</a:t>
          </a:r>
          <a:r>
            <a:rPr lang="en-US" cap="none" sz="1100" b="0" i="0" u="none" baseline="-25000">
              <a:solidFill>
                <a:srgbClr val="000000"/>
              </a:solidFill>
              <a:latin typeface="Arial"/>
              <a:ea typeface="Arial"/>
              <a:cs typeface="Arial"/>
            </a:rPr>
            <a:t>p</a:t>
          </a:r>
          <a:r>
            <a:rPr lang="en-US" cap="none" sz="1100" b="0" i="0" u="none" baseline="0">
              <a:solidFill>
                <a:srgbClr val="000000"/>
              </a:solidFill>
              <a:latin typeface="Arial"/>
              <a:ea typeface="Arial"/>
              <a:cs typeface="Arial"/>
            </a:rPr>
            <a:t>)</a:t>
          </a:r>
        </a:p>
      </xdr:txBody>
    </xdr:sp>
    <xdr:clientData/>
  </xdr:twoCellAnchor>
  <xdr:twoCellAnchor>
    <xdr:from>
      <xdr:col>5</xdr:col>
      <xdr:colOff>228600</xdr:colOff>
      <xdr:row>47</xdr:row>
      <xdr:rowOff>228600</xdr:rowOff>
    </xdr:from>
    <xdr:to>
      <xdr:col>7</xdr:col>
      <xdr:colOff>247650</xdr:colOff>
      <xdr:row>48</xdr:row>
      <xdr:rowOff>200025</xdr:rowOff>
    </xdr:to>
    <xdr:sp>
      <xdr:nvSpPr>
        <xdr:cNvPr id="9" name="Text Box 16"/>
        <xdr:cNvSpPr txBox="1">
          <a:spLocks noChangeArrowheads="1"/>
        </xdr:cNvSpPr>
      </xdr:nvSpPr>
      <xdr:spPr>
        <a:xfrm>
          <a:off x="4133850" y="10106025"/>
          <a:ext cx="1581150"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(Capacity in channel)</a:t>
          </a:r>
        </a:p>
      </xdr:txBody>
    </xdr:sp>
    <xdr:clientData/>
  </xdr:twoCellAnchor>
  <xdr:twoCellAnchor>
    <xdr:from>
      <xdr:col>5</xdr:col>
      <xdr:colOff>228600</xdr:colOff>
      <xdr:row>43</xdr:row>
      <xdr:rowOff>171450</xdr:rowOff>
    </xdr:from>
    <xdr:to>
      <xdr:col>6</xdr:col>
      <xdr:colOff>676275</xdr:colOff>
      <xdr:row>44</xdr:row>
      <xdr:rowOff>200025</xdr:rowOff>
    </xdr:to>
    <xdr:sp>
      <xdr:nvSpPr>
        <xdr:cNvPr id="10" name="Text Box 12"/>
        <xdr:cNvSpPr txBox="1">
          <a:spLocks noChangeArrowheads="1"/>
        </xdr:cNvSpPr>
      </xdr:nvSpPr>
      <xdr:spPr>
        <a:xfrm>
          <a:off x="4133850" y="9267825"/>
          <a:ext cx="1228725" cy="20955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(Weir head)</a:t>
          </a:r>
        </a:p>
      </xdr:txBody>
    </xdr:sp>
    <xdr:clientData/>
  </xdr:twoCellAnchor>
  <xdr:twoCellAnchor>
    <xdr:from>
      <xdr:col>5</xdr:col>
      <xdr:colOff>238125</xdr:colOff>
      <xdr:row>44</xdr:row>
      <xdr:rowOff>190500</xdr:rowOff>
    </xdr:from>
    <xdr:to>
      <xdr:col>7</xdr:col>
      <xdr:colOff>323850</xdr:colOff>
      <xdr:row>45</xdr:row>
      <xdr:rowOff>171450</xdr:rowOff>
    </xdr:to>
    <xdr:sp>
      <xdr:nvSpPr>
        <xdr:cNvPr id="11" name="Text Box 13"/>
        <xdr:cNvSpPr txBox="1">
          <a:spLocks noChangeArrowheads="1"/>
        </xdr:cNvSpPr>
      </xdr:nvSpPr>
      <xdr:spPr>
        <a:xfrm>
          <a:off x="4143375" y="9467850"/>
          <a:ext cx="1647825" cy="190500"/>
        </a:xfrm>
        <a:prstGeom prst="rect">
          <a:avLst/>
        </a:prstGeom>
        <a:solidFill>
          <a:srgbClr val="FFFFFF"/>
        </a:solid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(Flow area in channel)</a:t>
          </a:r>
        </a:p>
      </xdr:txBody>
    </xdr:sp>
    <xdr:clientData/>
  </xdr:twoCellAnchor>
  <xdr:twoCellAnchor>
    <xdr:from>
      <xdr:col>2</xdr:col>
      <xdr:colOff>657225</xdr:colOff>
      <xdr:row>10</xdr:row>
      <xdr:rowOff>9525</xdr:rowOff>
    </xdr:from>
    <xdr:to>
      <xdr:col>3</xdr:col>
      <xdr:colOff>114300</xdr:colOff>
      <xdr:row>11</xdr:row>
      <xdr:rowOff>0</xdr:rowOff>
    </xdr:to>
    <xdr:sp>
      <xdr:nvSpPr>
        <xdr:cNvPr id="12" name="Text Box 17"/>
        <xdr:cNvSpPr txBox="1">
          <a:spLocks noChangeArrowheads="1"/>
        </xdr:cNvSpPr>
      </xdr:nvSpPr>
      <xdr:spPr>
        <a:xfrm>
          <a:off x="2219325" y="2133600"/>
          <a:ext cx="238125"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657225</xdr:colOff>
      <xdr:row>10</xdr:row>
      <xdr:rowOff>180975</xdr:rowOff>
    </xdr:from>
    <xdr:to>
      <xdr:col>3</xdr:col>
      <xdr:colOff>123825</xdr:colOff>
      <xdr:row>12</xdr:row>
      <xdr:rowOff>0</xdr:rowOff>
    </xdr:to>
    <xdr:sp>
      <xdr:nvSpPr>
        <xdr:cNvPr id="13" name="Text Box 18"/>
        <xdr:cNvSpPr txBox="1">
          <a:spLocks noChangeArrowheads="1"/>
        </xdr:cNvSpPr>
      </xdr:nvSpPr>
      <xdr:spPr>
        <a:xfrm>
          <a:off x="2219325" y="2305050"/>
          <a:ext cx="2476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638175</xdr:colOff>
      <xdr:row>12</xdr:row>
      <xdr:rowOff>19050</xdr:rowOff>
    </xdr:from>
    <xdr:to>
      <xdr:col>3</xdr:col>
      <xdr:colOff>152400</xdr:colOff>
      <xdr:row>13</xdr:row>
      <xdr:rowOff>9525</xdr:rowOff>
    </xdr:to>
    <xdr:sp>
      <xdr:nvSpPr>
        <xdr:cNvPr id="14" name="Text Box 19"/>
        <xdr:cNvSpPr txBox="1">
          <a:spLocks noChangeArrowheads="1"/>
        </xdr:cNvSpPr>
      </xdr:nvSpPr>
      <xdr:spPr>
        <a:xfrm>
          <a:off x="2200275" y="2562225"/>
          <a:ext cx="29527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638175</xdr:colOff>
      <xdr:row>10</xdr:row>
      <xdr:rowOff>9525</xdr:rowOff>
    </xdr:from>
    <xdr:to>
      <xdr:col>6</xdr:col>
      <xdr:colOff>95250</xdr:colOff>
      <xdr:row>11</xdr:row>
      <xdr:rowOff>0</xdr:rowOff>
    </xdr:to>
    <xdr:sp>
      <xdr:nvSpPr>
        <xdr:cNvPr id="15" name="Text Box 20"/>
        <xdr:cNvSpPr txBox="1">
          <a:spLocks noChangeArrowheads="1"/>
        </xdr:cNvSpPr>
      </xdr:nvSpPr>
      <xdr:spPr>
        <a:xfrm>
          <a:off x="4543425" y="2133600"/>
          <a:ext cx="238125"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5</xdr:col>
      <xdr:colOff>647700</xdr:colOff>
      <xdr:row>10</xdr:row>
      <xdr:rowOff>180975</xdr:rowOff>
    </xdr:from>
    <xdr:to>
      <xdr:col>6</xdr:col>
      <xdr:colOff>114300</xdr:colOff>
      <xdr:row>12</xdr:row>
      <xdr:rowOff>0</xdr:rowOff>
    </xdr:to>
    <xdr:sp>
      <xdr:nvSpPr>
        <xdr:cNvPr id="16" name="Text Box 21"/>
        <xdr:cNvSpPr txBox="1">
          <a:spLocks noChangeArrowheads="1"/>
        </xdr:cNvSpPr>
      </xdr:nvSpPr>
      <xdr:spPr>
        <a:xfrm>
          <a:off x="4552950" y="2305050"/>
          <a:ext cx="2476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5</xdr:col>
      <xdr:colOff>628650</xdr:colOff>
      <xdr:row>12</xdr:row>
      <xdr:rowOff>19050</xdr:rowOff>
    </xdr:from>
    <xdr:to>
      <xdr:col>6</xdr:col>
      <xdr:colOff>142875</xdr:colOff>
      <xdr:row>13</xdr:row>
      <xdr:rowOff>9525</xdr:rowOff>
    </xdr:to>
    <xdr:sp>
      <xdr:nvSpPr>
        <xdr:cNvPr id="17" name="Text Box 22"/>
        <xdr:cNvSpPr txBox="1">
          <a:spLocks noChangeArrowheads="1"/>
        </xdr:cNvSpPr>
      </xdr:nvSpPr>
      <xdr:spPr>
        <a:xfrm>
          <a:off x="4533900" y="2562225"/>
          <a:ext cx="295275"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628650</xdr:colOff>
      <xdr:row>17</xdr:row>
      <xdr:rowOff>0</xdr:rowOff>
    </xdr:from>
    <xdr:to>
      <xdr:col>3</xdr:col>
      <xdr:colOff>123825</xdr:colOff>
      <xdr:row>17</xdr:row>
      <xdr:rowOff>200025</xdr:rowOff>
    </xdr:to>
    <xdr:sp>
      <xdr:nvSpPr>
        <xdr:cNvPr id="18" name="Text Box 23"/>
        <xdr:cNvSpPr txBox="1">
          <a:spLocks noChangeArrowheads="1"/>
        </xdr:cNvSpPr>
      </xdr:nvSpPr>
      <xdr:spPr>
        <a:xfrm>
          <a:off x="2190750" y="3648075"/>
          <a:ext cx="276225"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628650</xdr:colOff>
      <xdr:row>17</xdr:row>
      <xdr:rowOff>171450</xdr:rowOff>
    </xdr:from>
    <xdr:to>
      <xdr:col>3</xdr:col>
      <xdr:colOff>95250</xdr:colOff>
      <xdr:row>18</xdr:row>
      <xdr:rowOff>171450</xdr:rowOff>
    </xdr:to>
    <xdr:sp>
      <xdr:nvSpPr>
        <xdr:cNvPr id="19" name="Text Box 24"/>
        <xdr:cNvSpPr txBox="1">
          <a:spLocks noChangeArrowheads="1"/>
        </xdr:cNvSpPr>
      </xdr:nvSpPr>
      <xdr:spPr>
        <a:xfrm>
          <a:off x="2190750" y="3819525"/>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619125</xdr:colOff>
      <xdr:row>19</xdr:row>
      <xdr:rowOff>19050</xdr:rowOff>
    </xdr:from>
    <xdr:to>
      <xdr:col>3</xdr:col>
      <xdr:colOff>133350</xdr:colOff>
      <xdr:row>20</xdr:row>
      <xdr:rowOff>0</xdr:rowOff>
    </xdr:to>
    <xdr:sp>
      <xdr:nvSpPr>
        <xdr:cNvPr id="20" name="Text Box 25"/>
        <xdr:cNvSpPr txBox="1">
          <a:spLocks noChangeArrowheads="1"/>
        </xdr:cNvSpPr>
      </xdr:nvSpPr>
      <xdr:spPr>
        <a:xfrm>
          <a:off x="2181225" y="406717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619125</xdr:colOff>
      <xdr:row>22</xdr:row>
      <xdr:rowOff>0</xdr:rowOff>
    </xdr:from>
    <xdr:to>
      <xdr:col>3</xdr:col>
      <xdr:colOff>152400</xdr:colOff>
      <xdr:row>23</xdr:row>
      <xdr:rowOff>19050</xdr:rowOff>
    </xdr:to>
    <xdr:sp>
      <xdr:nvSpPr>
        <xdr:cNvPr id="21" name="Text Box 26"/>
        <xdr:cNvSpPr txBox="1">
          <a:spLocks noChangeArrowheads="1"/>
        </xdr:cNvSpPr>
      </xdr:nvSpPr>
      <xdr:spPr>
        <a:xfrm>
          <a:off x="2181225" y="4791075"/>
          <a:ext cx="314325" cy="2381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609600</xdr:colOff>
      <xdr:row>23</xdr:row>
      <xdr:rowOff>9525</xdr:rowOff>
    </xdr:from>
    <xdr:to>
      <xdr:col>3</xdr:col>
      <xdr:colOff>133350</xdr:colOff>
      <xdr:row>24</xdr:row>
      <xdr:rowOff>9525</xdr:rowOff>
    </xdr:to>
    <xdr:sp>
      <xdr:nvSpPr>
        <xdr:cNvPr id="22" name="Text Box 27"/>
        <xdr:cNvSpPr txBox="1">
          <a:spLocks noChangeArrowheads="1"/>
        </xdr:cNvSpPr>
      </xdr:nvSpPr>
      <xdr:spPr>
        <a:xfrm>
          <a:off x="2171700" y="5019675"/>
          <a:ext cx="30480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628650</xdr:colOff>
      <xdr:row>20</xdr:row>
      <xdr:rowOff>28575</xdr:rowOff>
    </xdr:from>
    <xdr:to>
      <xdr:col>3</xdr:col>
      <xdr:colOff>66675</xdr:colOff>
      <xdr:row>20</xdr:row>
      <xdr:rowOff>228600</xdr:rowOff>
    </xdr:to>
    <xdr:sp>
      <xdr:nvSpPr>
        <xdr:cNvPr id="23" name="Text Box 28"/>
        <xdr:cNvSpPr txBox="1">
          <a:spLocks noChangeArrowheads="1"/>
        </xdr:cNvSpPr>
      </xdr:nvSpPr>
      <xdr:spPr>
        <a:xfrm>
          <a:off x="2190750" y="4314825"/>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619125</xdr:colOff>
      <xdr:row>21</xdr:row>
      <xdr:rowOff>28575</xdr:rowOff>
    </xdr:from>
    <xdr:to>
      <xdr:col>3</xdr:col>
      <xdr:colOff>47625</xdr:colOff>
      <xdr:row>21</xdr:row>
      <xdr:rowOff>228600</xdr:rowOff>
    </xdr:to>
    <xdr:sp>
      <xdr:nvSpPr>
        <xdr:cNvPr id="24" name="Text Box 29"/>
        <xdr:cNvSpPr txBox="1">
          <a:spLocks noChangeArrowheads="1"/>
        </xdr:cNvSpPr>
      </xdr:nvSpPr>
      <xdr:spPr>
        <a:xfrm>
          <a:off x="2181225" y="45624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609600</xdr:colOff>
      <xdr:row>17</xdr:row>
      <xdr:rowOff>0</xdr:rowOff>
    </xdr:from>
    <xdr:to>
      <xdr:col>6</xdr:col>
      <xdr:colOff>104775</xdr:colOff>
      <xdr:row>17</xdr:row>
      <xdr:rowOff>200025</xdr:rowOff>
    </xdr:to>
    <xdr:sp>
      <xdr:nvSpPr>
        <xdr:cNvPr id="25" name="Text Box 30"/>
        <xdr:cNvSpPr txBox="1">
          <a:spLocks noChangeArrowheads="1"/>
        </xdr:cNvSpPr>
      </xdr:nvSpPr>
      <xdr:spPr>
        <a:xfrm>
          <a:off x="4514850" y="3648075"/>
          <a:ext cx="276225"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5</xdr:col>
      <xdr:colOff>628650</xdr:colOff>
      <xdr:row>17</xdr:row>
      <xdr:rowOff>171450</xdr:rowOff>
    </xdr:from>
    <xdr:to>
      <xdr:col>6</xdr:col>
      <xdr:colOff>95250</xdr:colOff>
      <xdr:row>18</xdr:row>
      <xdr:rowOff>171450</xdr:rowOff>
    </xdr:to>
    <xdr:sp>
      <xdr:nvSpPr>
        <xdr:cNvPr id="26" name="Text Box 31"/>
        <xdr:cNvSpPr txBox="1">
          <a:spLocks noChangeArrowheads="1"/>
        </xdr:cNvSpPr>
      </xdr:nvSpPr>
      <xdr:spPr>
        <a:xfrm>
          <a:off x="4533900" y="3819525"/>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5</xdr:col>
      <xdr:colOff>609600</xdr:colOff>
      <xdr:row>19</xdr:row>
      <xdr:rowOff>19050</xdr:rowOff>
    </xdr:from>
    <xdr:to>
      <xdr:col>6</xdr:col>
      <xdr:colOff>123825</xdr:colOff>
      <xdr:row>20</xdr:row>
      <xdr:rowOff>0</xdr:rowOff>
    </xdr:to>
    <xdr:sp>
      <xdr:nvSpPr>
        <xdr:cNvPr id="27" name="Text Box 32"/>
        <xdr:cNvSpPr txBox="1">
          <a:spLocks noChangeArrowheads="1"/>
        </xdr:cNvSpPr>
      </xdr:nvSpPr>
      <xdr:spPr>
        <a:xfrm>
          <a:off x="4514850" y="406717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619125</xdr:colOff>
      <xdr:row>23</xdr:row>
      <xdr:rowOff>9525</xdr:rowOff>
    </xdr:from>
    <xdr:to>
      <xdr:col>6</xdr:col>
      <xdr:colOff>123825</xdr:colOff>
      <xdr:row>24</xdr:row>
      <xdr:rowOff>9525</xdr:rowOff>
    </xdr:to>
    <xdr:sp>
      <xdr:nvSpPr>
        <xdr:cNvPr id="28" name="Text Box 34"/>
        <xdr:cNvSpPr txBox="1">
          <a:spLocks noChangeArrowheads="1"/>
        </xdr:cNvSpPr>
      </xdr:nvSpPr>
      <xdr:spPr>
        <a:xfrm>
          <a:off x="4524375" y="5019675"/>
          <a:ext cx="28575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5</xdr:col>
      <xdr:colOff>619125</xdr:colOff>
      <xdr:row>20</xdr:row>
      <xdr:rowOff>28575</xdr:rowOff>
    </xdr:from>
    <xdr:to>
      <xdr:col>6</xdr:col>
      <xdr:colOff>57150</xdr:colOff>
      <xdr:row>20</xdr:row>
      <xdr:rowOff>228600</xdr:rowOff>
    </xdr:to>
    <xdr:sp>
      <xdr:nvSpPr>
        <xdr:cNvPr id="29" name="Text Box 35"/>
        <xdr:cNvSpPr txBox="1">
          <a:spLocks noChangeArrowheads="1"/>
        </xdr:cNvSpPr>
      </xdr:nvSpPr>
      <xdr:spPr>
        <a:xfrm>
          <a:off x="4524375" y="4314825"/>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619125</xdr:colOff>
      <xdr:row>21</xdr:row>
      <xdr:rowOff>28575</xdr:rowOff>
    </xdr:from>
    <xdr:to>
      <xdr:col>6</xdr:col>
      <xdr:colOff>47625</xdr:colOff>
      <xdr:row>21</xdr:row>
      <xdr:rowOff>228600</xdr:rowOff>
    </xdr:to>
    <xdr:sp>
      <xdr:nvSpPr>
        <xdr:cNvPr id="30" name="Text Box 36"/>
        <xdr:cNvSpPr txBox="1">
          <a:spLocks noChangeArrowheads="1"/>
        </xdr:cNvSpPr>
      </xdr:nvSpPr>
      <xdr:spPr>
        <a:xfrm>
          <a:off x="4524375" y="45624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657225</xdr:colOff>
      <xdr:row>27</xdr:row>
      <xdr:rowOff>161925</xdr:rowOff>
    </xdr:from>
    <xdr:to>
      <xdr:col>3</xdr:col>
      <xdr:colOff>161925</xdr:colOff>
      <xdr:row>28</xdr:row>
      <xdr:rowOff>180975</xdr:rowOff>
    </xdr:to>
    <xdr:sp>
      <xdr:nvSpPr>
        <xdr:cNvPr id="31" name="Text Box 37"/>
        <xdr:cNvSpPr txBox="1">
          <a:spLocks noChangeArrowheads="1"/>
        </xdr:cNvSpPr>
      </xdr:nvSpPr>
      <xdr:spPr>
        <a:xfrm>
          <a:off x="2219325" y="5991225"/>
          <a:ext cx="28575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657225</xdr:colOff>
      <xdr:row>28</xdr:row>
      <xdr:rowOff>142875</xdr:rowOff>
    </xdr:from>
    <xdr:to>
      <xdr:col>3</xdr:col>
      <xdr:colOff>123825</xdr:colOff>
      <xdr:row>30</xdr:row>
      <xdr:rowOff>9525</xdr:rowOff>
    </xdr:to>
    <xdr:sp>
      <xdr:nvSpPr>
        <xdr:cNvPr id="32" name="Text Box 38"/>
        <xdr:cNvSpPr txBox="1">
          <a:spLocks noChangeArrowheads="1"/>
        </xdr:cNvSpPr>
      </xdr:nvSpPr>
      <xdr:spPr>
        <a:xfrm>
          <a:off x="2219325" y="6162675"/>
          <a:ext cx="247650" cy="2381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628650</xdr:colOff>
      <xdr:row>30</xdr:row>
      <xdr:rowOff>9525</xdr:rowOff>
    </xdr:from>
    <xdr:to>
      <xdr:col>3</xdr:col>
      <xdr:colOff>142875</xdr:colOff>
      <xdr:row>30</xdr:row>
      <xdr:rowOff>228600</xdr:rowOff>
    </xdr:to>
    <xdr:sp>
      <xdr:nvSpPr>
        <xdr:cNvPr id="33" name="Text Box 39"/>
        <xdr:cNvSpPr txBox="1">
          <a:spLocks noChangeArrowheads="1"/>
        </xdr:cNvSpPr>
      </xdr:nvSpPr>
      <xdr:spPr>
        <a:xfrm>
          <a:off x="2190750" y="6400800"/>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638175</xdr:colOff>
      <xdr:row>31</xdr:row>
      <xdr:rowOff>19050</xdr:rowOff>
    </xdr:from>
    <xdr:to>
      <xdr:col>3</xdr:col>
      <xdr:colOff>76200</xdr:colOff>
      <xdr:row>31</xdr:row>
      <xdr:rowOff>219075</xdr:rowOff>
    </xdr:to>
    <xdr:sp>
      <xdr:nvSpPr>
        <xdr:cNvPr id="34" name="Text Box 40"/>
        <xdr:cNvSpPr txBox="1">
          <a:spLocks noChangeArrowheads="1"/>
        </xdr:cNvSpPr>
      </xdr:nvSpPr>
      <xdr:spPr>
        <a:xfrm>
          <a:off x="2200275" y="664845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628650</xdr:colOff>
      <xdr:row>27</xdr:row>
      <xdr:rowOff>171450</xdr:rowOff>
    </xdr:from>
    <xdr:to>
      <xdr:col>6</xdr:col>
      <xdr:colOff>104775</xdr:colOff>
      <xdr:row>29</xdr:row>
      <xdr:rowOff>0</xdr:rowOff>
    </xdr:to>
    <xdr:sp>
      <xdr:nvSpPr>
        <xdr:cNvPr id="35" name="Text Box 41"/>
        <xdr:cNvSpPr txBox="1">
          <a:spLocks noChangeArrowheads="1"/>
        </xdr:cNvSpPr>
      </xdr:nvSpPr>
      <xdr:spPr>
        <a:xfrm>
          <a:off x="4533900" y="6000750"/>
          <a:ext cx="257175"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5</xdr:col>
      <xdr:colOff>628650</xdr:colOff>
      <xdr:row>28</xdr:row>
      <xdr:rowOff>152400</xdr:rowOff>
    </xdr:from>
    <xdr:to>
      <xdr:col>6</xdr:col>
      <xdr:colOff>95250</xdr:colOff>
      <xdr:row>30</xdr:row>
      <xdr:rowOff>0</xdr:rowOff>
    </xdr:to>
    <xdr:sp>
      <xdr:nvSpPr>
        <xdr:cNvPr id="36" name="Text Box 42"/>
        <xdr:cNvSpPr txBox="1">
          <a:spLocks noChangeArrowheads="1"/>
        </xdr:cNvSpPr>
      </xdr:nvSpPr>
      <xdr:spPr>
        <a:xfrm>
          <a:off x="4533900" y="6172200"/>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5</xdr:col>
      <xdr:colOff>619125</xdr:colOff>
      <xdr:row>30</xdr:row>
      <xdr:rowOff>9525</xdr:rowOff>
    </xdr:from>
    <xdr:to>
      <xdr:col>6</xdr:col>
      <xdr:colOff>133350</xdr:colOff>
      <xdr:row>30</xdr:row>
      <xdr:rowOff>228600</xdr:rowOff>
    </xdr:to>
    <xdr:sp>
      <xdr:nvSpPr>
        <xdr:cNvPr id="37" name="Text Box 43"/>
        <xdr:cNvSpPr txBox="1">
          <a:spLocks noChangeArrowheads="1"/>
        </xdr:cNvSpPr>
      </xdr:nvSpPr>
      <xdr:spPr>
        <a:xfrm>
          <a:off x="4524375" y="6400800"/>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628650</xdr:colOff>
      <xdr:row>31</xdr:row>
      <xdr:rowOff>19050</xdr:rowOff>
    </xdr:from>
    <xdr:to>
      <xdr:col>6</xdr:col>
      <xdr:colOff>66675</xdr:colOff>
      <xdr:row>31</xdr:row>
      <xdr:rowOff>219075</xdr:rowOff>
    </xdr:to>
    <xdr:sp>
      <xdr:nvSpPr>
        <xdr:cNvPr id="38" name="Text Box 44"/>
        <xdr:cNvSpPr txBox="1">
          <a:spLocks noChangeArrowheads="1"/>
        </xdr:cNvSpPr>
      </xdr:nvSpPr>
      <xdr:spPr>
        <a:xfrm>
          <a:off x="4533900" y="664845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4</xdr:col>
      <xdr:colOff>619125</xdr:colOff>
      <xdr:row>36</xdr:row>
      <xdr:rowOff>171450</xdr:rowOff>
    </xdr:from>
    <xdr:to>
      <xdr:col>5</xdr:col>
      <xdr:colOff>142875</xdr:colOff>
      <xdr:row>38</xdr:row>
      <xdr:rowOff>9525</xdr:rowOff>
    </xdr:to>
    <xdr:sp>
      <xdr:nvSpPr>
        <xdr:cNvPr id="39" name="Text Box 49"/>
        <xdr:cNvSpPr txBox="1">
          <a:spLocks noChangeArrowheads="1"/>
        </xdr:cNvSpPr>
      </xdr:nvSpPr>
      <xdr:spPr>
        <a:xfrm>
          <a:off x="3743325" y="7829550"/>
          <a:ext cx="304800" cy="22860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4</xdr:col>
      <xdr:colOff>638175</xdr:colOff>
      <xdr:row>37</xdr:row>
      <xdr:rowOff>152400</xdr:rowOff>
    </xdr:from>
    <xdr:to>
      <xdr:col>5</xdr:col>
      <xdr:colOff>104775</xdr:colOff>
      <xdr:row>38</xdr:row>
      <xdr:rowOff>161925</xdr:rowOff>
    </xdr:to>
    <xdr:sp>
      <xdr:nvSpPr>
        <xdr:cNvPr id="40" name="Text Box 50"/>
        <xdr:cNvSpPr txBox="1">
          <a:spLocks noChangeArrowheads="1"/>
        </xdr:cNvSpPr>
      </xdr:nvSpPr>
      <xdr:spPr>
        <a:xfrm>
          <a:off x="3762375" y="7991475"/>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4</xdr:col>
      <xdr:colOff>638175</xdr:colOff>
      <xdr:row>38</xdr:row>
      <xdr:rowOff>171450</xdr:rowOff>
    </xdr:from>
    <xdr:to>
      <xdr:col>5</xdr:col>
      <xdr:colOff>200025</xdr:colOff>
      <xdr:row>39</xdr:row>
      <xdr:rowOff>200025</xdr:rowOff>
    </xdr:to>
    <xdr:sp>
      <xdr:nvSpPr>
        <xdr:cNvPr id="41" name="Text Box 51"/>
        <xdr:cNvSpPr txBox="1">
          <a:spLocks noChangeArrowheads="1"/>
        </xdr:cNvSpPr>
      </xdr:nvSpPr>
      <xdr:spPr>
        <a:xfrm>
          <a:off x="3762375" y="8220075"/>
          <a:ext cx="34290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fps</a:t>
          </a:r>
        </a:p>
      </xdr:txBody>
    </xdr:sp>
    <xdr:clientData/>
  </xdr:twoCellAnchor>
  <xdr:twoCellAnchor>
    <xdr:from>
      <xdr:col>4</xdr:col>
      <xdr:colOff>657225</xdr:colOff>
      <xdr:row>40</xdr:row>
      <xdr:rowOff>9525</xdr:rowOff>
    </xdr:from>
    <xdr:to>
      <xdr:col>5</xdr:col>
      <xdr:colOff>95250</xdr:colOff>
      <xdr:row>40</xdr:row>
      <xdr:rowOff>209550</xdr:rowOff>
    </xdr:to>
    <xdr:sp>
      <xdr:nvSpPr>
        <xdr:cNvPr id="42" name="Text Box 52"/>
        <xdr:cNvSpPr txBox="1">
          <a:spLocks noChangeArrowheads="1"/>
        </xdr:cNvSpPr>
      </xdr:nvSpPr>
      <xdr:spPr>
        <a:xfrm>
          <a:off x="3781425" y="8448675"/>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4</xdr:col>
      <xdr:colOff>638175</xdr:colOff>
      <xdr:row>41</xdr:row>
      <xdr:rowOff>19050</xdr:rowOff>
    </xdr:from>
    <xdr:to>
      <xdr:col>5</xdr:col>
      <xdr:colOff>152400</xdr:colOff>
      <xdr:row>42</xdr:row>
      <xdr:rowOff>0</xdr:rowOff>
    </xdr:to>
    <xdr:sp>
      <xdr:nvSpPr>
        <xdr:cNvPr id="43" name="Text Box 53"/>
        <xdr:cNvSpPr txBox="1">
          <a:spLocks noChangeArrowheads="1"/>
        </xdr:cNvSpPr>
      </xdr:nvSpPr>
      <xdr:spPr>
        <a:xfrm>
          <a:off x="3762375" y="869632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4</xdr:col>
      <xdr:colOff>638175</xdr:colOff>
      <xdr:row>43</xdr:row>
      <xdr:rowOff>171450</xdr:rowOff>
    </xdr:from>
    <xdr:to>
      <xdr:col>5</xdr:col>
      <xdr:colOff>161925</xdr:colOff>
      <xdr:row>44</xdr:row>
      <xdr:rowOff>200025</xdr:rowOff>
    </xdr:to>
    <xdr:sp>
      <xdr:nvSpPr>
        <xdr:cNvPr id="44" name="Text Box 54"/>
        <xdr:cNvSpPr txBox="1">
          <a:spLocks noChangeArrowheads="1"/>
        </xdr:cNvSpPr>
      </xdr:nvSpPr>
      <xdr:spPr>
        <a:xfrm>
          <a:off x="3762375" y="9267825"/>
          <a:ext cx="30480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4</xdr:col>
      <xdr:colOff>638175</xdr:colOff>
      <xdr:row>44</xdr:row>
      <xdr:rowOff>161925</xdr:rowOff>
    </xdr:from>
    <xdr:to>
      <xdr:col>5</xdr:col>
      <xdr:colOff>104775</xdr:colOff>
      <xdr:row>45</xdr:row>
      <xdr:rowOff>171450</xdr:rowOff>
    </xdr:to>
    <xdr:sp>
      <xdr:nvSpPr>
        <xdr:cNvPr id="45" name="Text Box 55"/>
        <xdr:cNvSpPr txBox="1">
          <a:spLocks noChangeArrowheads="1"/>
        </xdr:cNvSpPr>
      </xdr:nvSpPr>
      <xdr:spPr>
        <a:xfrm>
          <a:off x="3762375" y="9439275"/>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4</xdr:col>
      <xdr:colOff>638175</xdr:colOff>
      <xdr:row>45</xdr:row>
      <xdr:rowOff>171450</xdr:rowOff>
    </xdr:from>
    <xdr:to>
      <xdr:col>5</xdr:col>
      <xdr:colOff>200025</xdr:colOff>
      <xdr:row>46</xdr:row>
      <xdr:rowOff>200025</xdr:rowOff>
    </xdr:to>
    <xdr:sp>
      <xdr:nvSpPr>
        <xdr:cNvPr id="46" name="Text Box 56"/>
        <xdr:cNvSpPr txBox="1">
          <a:spLocks noChangeArrowheads="1"/>
        </xdr:cNvSpPr>
      </xdr:nvSpPr>
      <xdr:spPr>
        <a:xfrm>
          <a:off x="3762375" y="9658350"/>
          <a:ext cx="342900"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fps</a:t>
          </a:r>
        </a:p>
      </xdr:txBody>
    </xdr:sp>
    <xdr:clientData/>
  </xdr:twoCellAnchor>
  <xdr:twoCellAnchor>
    <xdr:from>
      <xdr:col>4</xdr:col>
      <xdr:colOff>638175</xdr:colOff>
      <xdr:row>47</xdr:row>
      <xdr:rowOff>9525</xdr:rowOff>
    </xdr:from>
    <xdr:to>
      <xdr:col>5</xdr:col>
      <xdr:colOff>76200</xdr:colOff>
      <xdr:row>47</xdr:row>
      <xdr:rowOff>209550</xdr:rowOff>
    </xdr:to>
    <xdr:sp>
      <xdr:nvSpPr>
        <xdr:cNvPr id="47" name="Text Box 57"/>
        <xdr:cNvSpPr txBox="1">
          <a:spLocks noChangeArrowheads="1"/>
        </xdr:cNvSpPr>
      </xdr:nvSpPr>
      <xdr:spPr>
        <a:xfrm>
          <a:off x="3762375" y="988695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4</xdr:col>
      <xdr:colOff>638175</xdr:colOff>
      <xdr:row>48</xdr:row>
      <xdr:rowOff>19050</xdr:rowOff>
    </xdr:from>
    <xdr:to>
      <xdr:col>5</xdr:col>
      <xdr:colOff>152400</xdr:colOff>
      <xdr:row>49</xdr:row>
      <xdr:rowOff>0</xdr:rowOff>
    </xdr:to>
    <xdr:sp>
      <xdr:nvSpPr>
        <xdr:cNvPr id="48" name="Text Box 58"/>
        <xdr:cNvSpPr txBox="1">
          <a:spLocks noChangeArrowheads="1"/>
        </xdr:cNvSpPr>
      </xdr:nvSpPr>
      <xdr:spPr>
        <a:xfrm>
          <a:off x="3762375" y="10134600"/>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619125</xdr:colOff>
      <xdr:row>37</xdr:row>
      <xdr:rowOff>0</xdr:rowOff>
    </xdr:from>
    <xdr:to>
      <xdr:col>3</xdr:col>
      <xdr:colOff>47625</xdr:colOff>
      <xdr:row>37</xdr:row>
      <xdr:rowOff>200025</xdr:rowOff>
    </xdr:to>
    <xdr:sp>
      <xdr:nvSpPr>
        <xdr:cNvPr id="49" name="Text Box 59"/>
        <xdr:cNvSpPr txBox="1">
          <a:spLocks noChangeArrowheads="1"/>
        </xdr:cNvSpPr>
      </xdr:nvSpPr>
      <xdr:spPr>
        <a:xfrm>
          <a:off x="2181225" y="78390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609600</xdr:colOff>
      <xdr:row>37</xdr:row>
      <xdr:rowOff>161925</xdr:rowOff>
    </xdr:from>
    <xdr:to>
      <xdr:col>3</xdr:col>
      <xdr:colOff>76200</xdr:colOff>
      <xdr:row>38</xdr:row>
      <xdr:rowOff>171450</xdr:rowOff>
    </xdr:to>
    <xdr:sp>
      <xdr:nvSpPr>
        <xdr:cNvPr id="50" name="Text Box 60"/>
        <xdr:cNvSpPr txBox="1">
          <a:spLocks noChangeArrowheads="1"/>
        </xdr:cNvSpPr>
      </xdr:nvSpPr>
      <xdr:spPr>
        <a:xfrm>
          <a:off x="2171700" y="8001000"/>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619125</xdr:colOff>
      <xdr:row>39</xdr:row>
      <xdr:rowOff>0</xdr:rowOff>
    </xdr:from>
    <xdr:to>
      <xdr:col>3</xdr:col>
      <xdr:colOff>180975</xdr:colOff>
      <xdr:row>40</xdr:row>
      <xdr:rowOff>0</xdr:rowOff>
    </xdr:to>
    <xdr:sp>
      <xdr:nvSpPr>
        <xdr:cNvPr id="51" name="Text Box 61"/>
        <xdr:cNvSpPr txBox="1">
          <a:spLocks noChangeArrowheads="1"/>
        </xdr:cNvSpPr>
      </xdr:nvSpPr>
      <xdr:spPr>
        <a:xfrm>
          <a:off x="2181225" y="8229600"/>
          <a:ext cx="34290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fps</a:t>
          </a:r>
        </a:p>
      </xdr:txBody>
    </xdr:sp>
    <xdr:clientData/>
  </xdr:twoCellAnchor>
  <xdr:twoCellAnchor>
    <xdr:from>
      <xdr:col>2</xdr:col>
      <xdr:colOff>628650</xdr:colOff>
      <xdr:row>40</xdr:row>
      <xdr:rowOff>19050</xdr:rowOff>
    </xdr:from>
    <xdr:to>
      <xdr:col>3</xdr:col>
      <xdr:colOff>66675</xdr:colOff>
      <xdr:row>40</xdr:row>
      <xdr:rowOff>219075</xdr:rowOff>
    </xdr:to>
    <xdr:sp>
      <xdr:nvSpPr>
        <xdr:cNvPr id="52" name="Text Box 62"/>
        <xdr:cNvSpPr txBox="1">
          <a:spLocks noChangeArrowheads="1"/>
        </xdr:cNvSpPr>
      </xdr:nvSpPr>
      <xdr:spPr>
        <a:xfrm>
          <a:off x="2190750" y="845820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619125</xdr:colOff>
      <xdr:row>41</xdr:row>
      <xdr:rowOff>19050</xdr:rowOff>
    </xdr:from>
    <xdr:to>
      <xdr:col>3</xdr:col>
      <xdr:colOff>133350</xdr:colOff>
      <xdr:row>42</xdr:row>
      <xdr:rowOff>0</xdr:rowOff>
    </xdr:to>
    <xdr:sp>
      <xdr:nvSpPr>
        <xdr:cNvPr id="53" name="Text Box 63"/>
        <xdr:cNvSpPr txBox="1">
          <a:spLocks noChangeArrowheads="1"/>
        </xdr:cNvSpPr>
      </xdr:nvSpPr>
      <xdr:spPr>
        <a:xfrm>
          <a:off x="2181225" y="869632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2</xdr:col>
      <xdr:colOff>638175</xdr:colOff>
      <xdr:row>44</xdr:row>
      <xdr:rowOff>0</xdr:rowOff>
    </xdr:from>
    <xdr:to>
      <xdr:col>3</xdr:col>
      <xdr:colOff>66675</xdr:colOff>
      <xdr:row>44</xdr:row>
      <xdr:rowOff>200025</xdr:rowOff>
    </xdr:to>
    <xdr:sp>
      <xdr:nvSpPr>
        <xdr:cNvPr id="54" name="Text Box 64"/>
        <xdr:cNvSpPr txBox="1">
          <a:spLocks noChangeArrowheads="1"/>
        </xdr:cNvSpPr>
      </xdr:nvSpPr>
      <xdr:spPr>
        <a:xfrm>
          <a:off x="2200275" y="927735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647700</xdr:colOff>
      <xdr:row>44</xdr:row>
      <xdr:rowOff>171450</xdr:rowOff>
    </xdr:from>
    <xdr:to>
      <xdr:col>3</xdr:col>
      <xdr:colOff>114300</xdr:colOff>
      <xdr:row>46</xdr:row>
      <xdr:rowOff>0</xdr:rowOff>
    </xdr:to>
    <xdr:sp>
      <xdr:nvSpPr>
        <xdr:cNvPr id="55" name="Text Box 65"/>
        <xdr:cNvSpPr txBox="1">
          <a:spLocks noChangeArrowheads="1"/>
        </xdr:cNvSpPr>
      </xdr:nvSpPr>
      <xdr:spPr>
        <a:xfrm>
          <a:off x="2209800" y="9448800"/>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647700</xdr:colOff>
      <xdr:row>46</xdr:row>
      <xdr:rowOff>0</xdr:rowOff>
    </xdr:from>
    <xdr:to>
      <xdr:col>3</xdr:col>
      <xdr:colOff>209550</xdr:colOff>
      <xdr:row>47</xdr:row>
      <xdr:rowOff>0</xdr:rowOff>
    </xdr:to>
    <xdr:sp>
      <xdr:nvSpPr>
        <xdr:cNvPr id="56" name="Text Box 66"/>
        <xdr:cNvSpPr txBox="1">
          <a:spLocks noChangeArrowheads="1"/>
        </xdr:cNvSpPr>
      </xdr:nvSpPr>
      <xdr:spPr>
        <a:xfrm>
          <a:off x="2209800" y="9667875"/>
          <a:ext cx="34290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fps</a:t>
          </a:r>
        </a:p>
      </xdr:txBody>
    </xdr:sp>
    <xdr:clientData/>
  </xdr:twoCellAnchor>
  <xdr:twoCellAnchor>
    <xdr:from>
      <xdr:col>2</xdr:col>
      <xdr:colOff>638175</xdr:colOff>
      <xdr:row>47</xdr:row>
      <xdr:rowOff>19050</xdr:rowOff>
    </xdr:from>
    <xdr:to>
      <xdr:col>3</xdr:col>
      <xdr:colOff>76200</xdr:colOff>
      <xdr:row>47</xdr:row>
      <xdr:rowOff>219075</xdr:rowOff>
    </xdr:to>
    <xdr:sp>
      <xdr:nvSpPr>
        <xdr:cNvPr id="57" name="Text Box 67"/>
        <xdr:cNvSpPr txBox="1">
          <a:spLocks noChangeArrowheads="1"/>
        </xdr:cNvSpPr>
      </xdr:nvSpPr>
      <xdr:spPr>
        <a:xfrm>
          <a:off x="2200275" y="9896475"/>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609600</xdr:colOff>
      <xdr:row>48</xdr:row>
      <xdr:rowOff>19050</xdr:rowOff>
    </xdr:from>
    <xdr:to>
      <xdr:col>3</xdr:col>
      <xdr:colOff>123825</xdr:colOff>
      <xdr:row>49</xdr:row>
      <xdr:rowOff>0</xdr:rowOff>
    </xdr:to>
    <xdr:sp>
      <xdr:nvSpPr>
        <xdr:cNvPr id="58" name="Text Box 68"/>
        <xdr:cNvSpPr txBox="1">
          <a:spLocks noChangeArrowheads="1"/>
        </xdr:cNvSpPr>
      </xdr:nvSpPr>
      <xdr:spPr>
        <a:xfrm>
          <a:off x="2171700" y="10134600"/>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590550</xdr:colOff>
      <xdr:row>53</xdr:row>
      <xdr:rowOff>19050</xdr:rowOff>
    </xdr:from>
    <xdr:to>
      <xdr:col>6</xdr:col>
      <xdr:colOff>390525</xdr:colOff>
      <xdr:row>53</xdr:row>
      <xdr:rowOff>209550</xdr:rowOff>
    </xdr:to>
    <xdr:sp>
      <xdr:nvSpPr>
        <xdr:cNvPr id="59" name="Text Box 69"/>
        <xdr:cNvSpPr txBox="1">
          <a:spLocks noChangeArrowheads="1"/>
        </xdr:cNvSpPr>
      </xdr:nvSpPr>
      <xdr:spPr>
        <a:xfrm>
          <a:off x="4495800" y="11401425"/>
          <a:ext cx="581025" cy="1905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cms/m</a:t>
          </a:r>
        </a:p>
      </xdr:txBody>
    </xdr:sp>
    <xdr:clientData/>
  </xdr:twoCellAnchor>
  <xdr:twoCellAnchor>
    <xdr:from>
      <xdr:col>5</xdr:col>
      <xdr:colOff>619125</xdr:colOff>
      <xdr:row>54</xdr:row>
      <xdr:rowOff>9525</xdr:rowOff>
    </xdr:from>
    <xdr:to>
      <xdr:col>6</xdr:col>
      <xdr:colOff>209550</xdr:colOff>
      <xdr:row>54</xdr:row>
      <xdr:rowOff>228600</xdr:rowOff>
    </xdr:to>
    <xdr:sp>
      <xdr:nvSpPr>
        <xdr:cNvPr id="60" name="Text Box 70"/>
        <xdr:cNvSpPr txBox="1">
          <a:spLocks noChangeArrowheads="1"/>
        </xdr:cNvSpPr>
      </xdr:nvSpPr>
      <xdr:spPr>
        <a:xfrm>
          <a:off x="4524375" y="11630025"/>
          <a:ext cx="3714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mm</a:t>
          </a:r>
        </a:p>
      </xdr:txBody>
    </xdr:sp>
    <xdr:clientData/>
  </xdr:twoCellAnchor>
  <xdr:twoCellAnchor>
    <xdr:from>
      <xdr:col>5</xdr:col>
      <xdr:colOff>619125</xdr:colOff>
      <xdr:row>56</xdr:row>
      <xdr:rowOff>19050</xdr:rowOff>
    </xdr:from>
    <xdr:to>
      <xdr:col>6</xdr:col>
      <xdr:colOff>57150</xdr:colOff>
      <xdr:row>56</xdr:row>
      <xdr:rowOff>219075</xdr:rowOff>
    </xdr:to>
    <xdr:sp>
      <xdr:nvSpPr>
        <xdr:cNvPr id="61" name="Text Box 72"/>
        <xdr:cNvSpPr txBox="1">
          <a:spLocks noChangeArrowheads="1"/>
        </xdr:cNvSpPr>
      </xdr:nvSpPr>
      <xdr:spPr>
        <a:xfrm>
          <a:off x="4524375" y="1205865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609600</xdr:colOff>
      <xdr:row>57</xdr:row>
      <xdr:rowOff>228600</xdr:rowOff>
    </xdr:from>
    <xdr:to>
      <xdr:col>6</xdr:col>
      <xdr:colOff>123825</xdr:colOff>
      <xdr:row>59</xdr:row>
      <xdr:rowOff>28575</xdr:rowOff>
    </xdr:to>
    <xdr:sp>
      <xdr:nvSpPr>
        <xdr:cNvPr id="62" name="Text Box 73"/>
        <xdr:cNvSpPr txBox="1">
          <a:spLocks noChangeArrowheads="1"/>
        </xdr:cNvSpPr>
      </xdr:nvSpPr>
      <xdr:spPr>
        <a:xfrm>
          <a:off x="4514850" y="1250632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fps</a:t>
          </a:r>
        </a:p>
      </xdr:txBody>
    </xdr:sp>
    <xdr:clientData/>
  </xdr:twoCellAnchor>
  <xdr:twoCellAnchor>
    <xdr:from>
      <xdr:col>5</xdr:col>
      <xdr:colOff>609600</xdr:colOff>
      <xdr:row>59</xdr:row>
      <xdr:rowOff>28575</xdr:rowOff>
    </xdr:from>
    <xdr:to>
      <xdr:col>6</xdr:col>
      <xdr:colOff>38100</xdr:colOff>
      <xdr:row>59</xdr:row>
      <xdr:rowOff>228600</xdr:rowOff>
    </xdr:to>
    <xdr:sp>
      <xdr:nvSpPr>
        <xdr:cNvPr id="63" name="Text Box 74"/>
        <xdr:cNvSpPr txBox="1">
          <a:spLocks noChangeArrowheads="1"/>
        </xdr:cNvSpPr>
      </xdr:nvSpPr>
      <xdr:spPr>
        <a:xfrm>
          <a:off x="4514850" y="1272540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619125</xdr:colOff>
      <xdr:row>56</xdr:row>
      <xdr:rowOff>219075</xdr:rowOff>
    </xdr:from>
    <xdr:to>
      <xdr:col>6</xdr:col>
      <xdr:colOff>85725</xdr:colOff>
      <xdr:row>57</xdr:row>
      <xdr:rowOff>200025</xdr:rowOff>
    </xdr:to>
    <xdr:sp>
      <xdr:nvSpPr>
        <xdr:cNvPr id="64" name="Text Box 79"/>
        <xdr:cNvSpPr txBox="1">
          <a:spLocks noChangeArrowheads="1"/>
        </xdr:cNvSpPr>
      </xdr:nvSpPr>
      <xdr:spPr>
        <a:xfrm>
          <a:off x="4524375" y="12258675"/>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600075</xdr:colOff>
      <xdr:row>53</xdr:row>
      <xdr:rowOff>19050</xdr:rowOff>
    </xdr:from>
    <xdr:to>
      <xdr:col>3</xdr:col>
      <xdr:colOff>352425</xdr:colOff>
      <xdr:row>54</xdr:row>
      <xdr:rowOff>9525</xdr:rowOff>
    </xdr:to>
    <xdr:sp>
      <xdr:nvSpPr>
        <xdr:cNvPr id="65" name="Text Box 80"/>
        <xdr:cNvSpPr txBox="1">
          <a:spLocks noChangeArrowheads="1"/>
        </xdr:cNvSpPr>
      </xdr:nvSpPr>
      <xdr:spPr>
        <a:xfrm>
          <a:off x="2162175" y="11401425"/>
          <a:ext cx="533400"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cms/m</a:t>
          </a:r>
        </a:p>
      </xdr:txBody>
    </xdr:sp>
    <xdr:clientData/>
  </xdr:twoCellAnchor>
  <xdr:twoCellAnchor>
    <xdr:from>
      <xdr:col>2</xdr:col>
      <xdr:colOff>619125</xdr:colOff>
      <xdr:row>56</xdr:row>
      <xdr:rowOff>19050</xdr:rowOff>
    </xdr:from>
    <xdr:to>
      <xdr:col>3</xdr:col>
      <xdr:colOff>57150</xdr:colOff>
      <xdr:row>56</xdr:row>
      <xdr:rowOff>219075</xdr:rowOff>
    </xdr:to>
    <xdr:sp>
      <xdr:nvSpPr>
        <xdr:cNvPr id="66" name="Text Box 82"/>
        <xdr:cNvSpPr txBox="1">
          <a:spLocks noChangeArrowheads="1"/>
        </xdr:cNvSpPr>
      </xdr:nvSpPr>
      <xdr:spPr>
        <a:xfrm>
          <a:off x="2181225" y="12058650"/>
          <a:ext cx="219075"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619125</xdr:colOff>
      <xdr:row>57</xdr:row>
      <xdr:rowOff>228600</xdr:rowOff>
    </xdr:from>
    <xdr:to>
      <xdr:col>3</xdr:col>
      <xdr:colOff>133350</xdr:colOff>
      <xdr:row>59</xdr:row>
      <xdr:rowOff>28575</xdr:rowOff>
    </xdr:to>
    <xdr:sp>
      <xdr:nvSpPr>
        <xdr:cNvPr id="67" name="Text Box 83"/>
        <xdr:cNvSpPr txBox="1">
          <a:spLocks noChangeArrowheads="1"/>
        </xdr:cNvSpPr>
      </xdr:nvSpPr>
      <xdr:spPr>
        <a:xfrm>
          <a:off x="2181225" y="12506325"/>
          <a:ext cx="295275"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fps</a:t>
          </a:r>
        </a:p>
      </xdr:txBody>
    </xdr:sp>
    <xdr:clientData/>
  </xdr:twoCellAnchor>
  <xdr:twoCellAnchor>
    <xdr:from>
      <xdr:col>2</xdr:col>
      <xdr:colOff>600075</xdr:colOff>
      <xdr:row>59</xdr:row>
      <xdr:rowOff>28575</xdr:rowOff>
    </xdr:from>
    <xdr:to>
      <xdr:col>3</xdr:col>
      <xdr:colOff>28575</xdr:colOff>
      <xdr:row>59</xdr:row>
      <xdr:rowOff>228600</xdr:rowOff>
    </xdr:to>
    <xdr:sp>
      <xdr:nvSpPr>
        <xdr:cNvPr id="68" name="Text Box 84"/>
        <xdr:cNvSpPr txBox="1">
          <a:spLocks noChangeArrowheads="1"/>
        </xdr:cNvSpPr>
      </xdr:nvSpPr>
      <xdr:spPr>
        <a:xfrm>
          <a:off x="2162175" y="1272540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619125</xdr:colOff>
      <xdr:row>56</xdr:row>
      <xdr:rowOff>219075</xdr:rowOff>
    </xdr:from>
    <xdr:to>
      <xdr:col>3</xdr:col>
      <xdr:colOff>85725</xdr:colOff>
      <xdr:row>57</xdr:row>
      <xdr:rowOff>200025</xdr:rowOff>
    </xdr:to>
    <xdr:sp>
      <xdr:nvSpPr>
        <xdr:cNvPr id="69" name="Text Box 85"/>
        <xdr:cNvSpPr txBox="1">
          <a:spLocks noChangeArrowheads="1"/>
        </xdr:cNvSpPr>
      </xdr:nvSpPr>
      <xdr:spPr>
        <a:xfrm>
          <a:off x="2181225" y="12258675"/>
          <a:ext cx="247650" cy="2190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609600</xdr:colOff>
      <xdr:row>61</xdr:row>
      <xdr:rowOff>28575</xdr:rowOff>
    </xdr:from>
    <xdr:to>
      <xdr:col>3</xdr:col>
      <xdr:colOff>38100</xdr:colOff>
      <xdr:row>61</xdr:row>
      <xdr:rowOff>228600</xdr:rowOff>
    </xdr:to>
    <xdr:sp>
      <xdr:nvSpPr>
        <xdr:cNvPr id="70" name="Text Box 86"/>
        <xdr:cNvSpPr txBox="1">
          <a:spLocks noChangeArrowheads="1"/>
        </xdr:cNvSpPr>
      </xdr:nvSpPr>
      <xdr:spPr>
        <a:xfrm>
          <a:off x="2171700" y="13201650"/>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590550</xdr:colOff>
      <xdr:row>73</xdr:row>
      <xdr:rowOff>28575</xdr:rowOff>
    </xdr:from>
    <xdr:to>
      <xdr:col>3</xdr:col>
      <xdr:colOff>19050</xdr:colOff>
      <xdr:row>73</xdr:row>
      <xdr:rowOff>228600</xdr:rowOff>
    </xdr:to>
    <xdr:sp>
      <xdr:nvSpPr>
        <xdr:cNvPr id="71" name="Text Box 87"/>
        <xdr:cNvSpPr txBox="1">
          <a:spLocks noChangeArrowheads="1"/>
        </xdr:cNvSpPr>
      </xdr:nvSpPr>
      <xdr:spPr>
        <a:xfrm>
          <a:off x="2152650" y="156114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590550</xdr:colOff>
      <xdr:row>74</xdr:row>
      <xdr:rowOff>28575</xdr:rowOff>
    </xdr:from>
    <xdr:to>
      <xdr:col>3</xdr:col>
      <xdr:colOff>57150</xdr:colOff>
      <xdr:row>75</xdr:row>
      <xdr:rowOff>0</xdr:rowOff>
    </xdr:to>
    <xdr:sp>
      <xdr:nvSpPr>
        <xdr:cNvPr id="72" name="Text Box 88"/>
        <xdr:cNvSpPr txBox="1">
          <a:spLocks noChangeArrowheads="1"/>
        </xdr:cNvSpPr>
      </xdr:nvSpPr>
      <xdr:spPr>
        <a:xfrm>
          <a:off x="2152650" y="15849600"/>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2</xdr:col>
      <xdr:colOff>600075</xdr:colOff>
      <xdr:row>75</xdr:row>
      <xdr:rowOff>28575</xdr:rowOff>
    </xdr:from>
    <xdr:to>
      <xdr:col>3</xdr:col>
      <xdr:colOff>114300</xdr:colOff>
      <xdr:row>76</xdr:row>
      <xdr:rowOff>19050</xdr:rowOff>
    </xdr:to>
    <xdr:sp>
      <xdr:nvSpPr>
        <xdr:cNvPr id="73" name="Text Box 89"/>
        <xdr:cNvSpPr txBox="1">
          <a:spLocks noChangeArrowheads="1"/>
        </xdr:cNvSpPr>
      </xdr:nvSpPr>
      <xdr:spPr>
        <a:xfrm>
          <a:off x="2162175" y="16087725"/>
          <a:ext cx="295275"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2</xdr:col>
      <xdr:colOff>666750</xdr:colOff>
      <xdr:row>66</xdr:row>
      <xdr:rowOff>0</xdr:rowOff>
    </xdr:from>
    <xdr:to>
      <xdr:col>3</xdr:col>
      <xdr:colOff>133350</xdr:colOff>
      <xdr:row>66</xdr:row>
      <xdr:rowOff>200025</xdr:rowOff>
    </xdr:to>
    <xdr:sp>
      <xdr:nvSpPr>
        <xdr:cNvPr id="74" name="Text Box 90"/>
        <xdr:cNvSpPr txBox="1">
          <a:spLocks noChangeArrowheads="1"/>
        </xdr:cNvSpPr>
      </xdr:nvSpPr>
      <xdr:spPr>
        <a:xfrm>
          <a:off x="2228850" y="14154150"/>
          <a:ext cx="247650"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2</xdr:col>
      <xdr:colOff>657225</xdr:colOff>
      <xdr:row>67</xdr:row>
      <xdr:rowOff>219075</xdr:rowOff>
    </xdr:from>
    <xdr:to>
      <xdr:col>3</xdr:col>
      <xdr:colOff>123825</xdr:colOff>
      <xdr:row>68</xdr:row>
      <xdr:rowOff>190500</xdr:rowOff>
    </xdr:to>
    <xdr:sp>
      <xdr:nvSpPr>
        <xdr:cNvPr id="75" name="Text Box 91"/>
        <xdr:cNvSpPr txBox="1">
          <a:spLocks noChangeArrowheads="1"/>
        </xdr:cNvSpPr>
      </xdr:nvSpPr>
      <xdr:spPr>
        <a:xfrm>
          <a:off x="2219325" y="14582775"/>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2</xdr:col>
      <xdr:colOff>647700</xdr:colOff>
      <xdr:row>67</xdr:row>
      <xdr:rowOff>19050</xdr:rowOff>
    </xdr:from>
    <xdr:to>
      <xdr:col>3</xdr:col>
      <xdr:colOff>161925</xdr:colOff>
      <xdr:row>68</xdr:row>
      <xdr:rowOff>9525</xdr:rowOff>
    </xdr:to>
    <xdr:sp>
      <xdr:nvSpPr>
        <xdr:cNvPr id="76" name="Text Box 92"/>
        <xdr:cNvSpPr txBox="1">
          <a:spLocks noChangeArrowheads="1"/>
        </xdr:cNvSpPr>
      </xdr:nvSpPr>
      <xdr:spPr>
        <a:xfrm>
          <a:off x="2209800" y="14382750"/>
          <a:ext cx="295275"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638175</xdr:colOff>
      <xdr:row>66</xdr:row>
      <xdr:rowOff>0</xdr:rowOff>
    </xdr:from>
    <xdr:to>
      <xdr:col>6</xdr:col>
      <xdr:colOff>123825</xdr:colOff>
      <xdr:row>66</xdr:row>
      <xdr:rowOff>200025</xdr:rowOff>
    </xdr:to>
    <xdr:sp>
      <xdr:nvSpPr>
        <xdr:cNvPr id="77" name="Text Box 93"/>
        <xdr:cNvSpPr txBox="1">
          <a:spLocks noChangeArrowheads="1"/>
        </xdr:cNvSpPr>
      </xdr:nvSpPr>
      <xdr:spPr>
        <a:xfrm>
          <a:off x="4543425" y="14154150"/>
          <a:ext cx="266700"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5</xdr:col>
      <xdr:colOff>666750</xdr:colOff>
      <xdr:row>67</xdr:row>
      <xdr:rowOff>219075</xdr:rowOff>
    </xdr:from>
    <xdr:to>
      <xdr:col>6</xdr:col>
      <xdr:colOff>133350</xdr:colOff>
      <xdr:row>68</xdr:row>
      <xdr:rowOff>190500</xdr:rowOff>
    </xdr:to>
    <xdr:sp>
      <xdr:nvSpPr>
        <xdr:cNvPr id="78" name="Text Box 94"/>
        <xdr:cNvSpPr txBox="1">
          <a:spLocks noChangeArrowheads="1"/>
        </xdr:cNvSpPr>
      </xdr:nvSpPr>
      <xdr:spPr>
        <a:xfrm>
          <a:off x="4572000" y="14582775"/>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r>
            <a:rPr lang="en-US" cap="none" sz="1200" b="0" i="0" u="none" baseline="30000">
              <a:solidFill>
                <a:srgbClr val="000000"/>
              </a:solidFill>
              <a:latin typeface="Arial"/>
              <a:ea typeface="Arial"/>
              <a:cs typeface="Arial"/>
            </a:rPr>
            <a:t>2</a:t>
          </a:r>
        </a:p>
      </xdr:txBody>
    </xdr:sp>
    <xdr:clientData/>
  </xdr:twoCellAnchor>
  <xdr:twoCellAnchor>
    <xdr:from>
      <xdr:col>5</xdr:col>
      <xdr:colOff>647700</xdr:colOff>
      <xdr:row>67</xdr:row>
      <xdr:rowOff>19050</xdr:rowOff>
    </xdr:from>
    <xdr:to>
      <xdr:col>6</xdr:col>
      <xdr:colOff>161925</xdr:colOff>
      <xdr:row>68</xdr:row>
      <xdr:rowOff>9525</xdr:rowOff>
    </xdr:to>
    <xdr:sp>
      <xdr:nvSpPr>
        <xdr:cNvPr id="79" name="Text Box 95"/>
        <xdr:cNvSpPr txBox="1">
          <a:spLocks noChangeArrowheads="1"/>
        </xdr:cNvSpPr>
      </xdr:nvSpPr>
      <xdr:spPr>
        <a:xfrm>
          <a:off x="4552950" y="14382750"/>
          <a:ext cx="295275"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cfs</a:t>
          </a:r>
        </a:p>
      </xdr:txBody>
    </xdr:sp>
    <xdr:clientData/>
  </xdr:twoCellAnchor>
  <xdr:twoCellAnchor>
    <xdr:from>
      <xdr:col>5</xdr:col>
      <xdr:colOff>590550</xdr:colOff>
      <xdr:row>73</xdr:row>
      <xdr:rowOff>28575</xdr:rowOff>
    </xdr:from>
    <xdr:to>
      <xdr:col>6</xdr:col>
      <xdr:colOff>19050</xdr:colOff>
      <xdr:row>73</xdr:row>
      <xdr:rowOff>228600</xdr:rowOff>
    </xdr:to>
    <xdr:sp>
      <xdr:nvSpPr>
        <xdr:cNvPr id="80" name="Text Box 96"/>
        <xdr:cNvSpPr txBox="1">
          <a:spLocks noChangeArrowheads="1"/>
        </xdr:cNvSpPr>
      </xdr:nvSpPr>
      <xdr:spPr>
        <a:xfrm>
          <a:off x="4495800" y="15611475"/>
          <a:ext cx="209550" cy="2000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590550</xdr:colOff>
      <xdr:row>74</xdr:row>
      <xdr:rowOff>28575</xdr:rowOff>
    </xdr:from>
    <xdr:to>
      <xdr:col>6</xdr:col>
      <xdr:colOff>57150</xdr:colOff>
      <xdr:row>75</xdr:row>
      <xdr:rowOff>0</xdr:rowOff>
    </xdr:to>
    <xdr:sp>
      <xdr:nvSpPr>
        <xdr:cNvPr id="81" name="Text Box 97"/>
        <xdr:cNvSpPr txBox="1">
          <a:spLocks noChangeArrowheads="1"/>
        </xdr:cNvSpPr>
      </xdr:nvSpPr>
      <xdr:spPr>
        <a:xfrm>
          <a:off x="4495800" y="15849600"/>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ft.</a:t>
          </a:r>
        </a:p>
      </xdr:txBody>
    </xdr:sp>
    <xdr:clientData/>
  </xdr:twoCellAnchor>
  <xdr:twoCellAnchor>
    <xdr:from>
      <xdr:col>5</xdr:col>
      <xdr:colOff>600075</xdr:colOff>
      <xdr:row>75</xdr:row>
      <xdr:rowOff>28575</xdr:rowOff>
    </xdr:from>
    <xdr:to>
      <xdr:col>6</xdr:col>
      <xdr:colOff>114300</xdr:colOff>
      <xdr:row>76</xdr:row>
      <xdr:rowOff>19050</xdr:rowOff>
    </xdr:to>
    <xdr:sp>
      <xdr:nvSpPr>
        <xdr:cNvPr id="82" name="Text Box 98"/>
        <xdr:cNvSpPr txBox="1">
          <a:spLocks noChangeArrowheads="1"/>
        </xdr:cNvSpPr>
      </xdr:nvSpPr>
      <xdr:spPr>
        <a:xfrm>
          <a:off x="4505325" y="16087725"/>
          <a:ext cx="295275" cy="22860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419100</xdr:colOff>
      <xdr:row>86</xdr:row>
      <xdr:rowOff>200025</xdr:rowOff>
    </xdr:from>
    <xdr:to>
      <xdr:col>6</xdr:col>
      <xdr:colOff>676275</xdr:colOff>
      <xdr:row>88</xdr:row>
      <xdr:rowOff>9525</xdr:rowOff>
    </xdr:to>
    <xdr:sp>
      <xdr:nvSpPr>
        <xdr:cNvPr id="83" name="Text Box 99"/>
        <xdr:cNvSpPr txBox="1">
          <a:spLocks noChangeArrowheads="1"/>
        </xdr:cNvSpPr>
      </xdr:nvSpPr>
      <xdr:spPr>
        <a:xfrm>
          <a:off x="5105400" y="18526125"/>
          <a:ext cx="257175" cy="25717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r>
            <a:rPr lang="en-US" cap="none" sz="1200" b="1" i="0" u="none" baseline="30000">
              <a:solidFill>
                <a:srgbClr val="000000"/>
              </a:solidFill>
              <a:latin typeface="Arial"/>
              <a:ea typeface="Arial"/>
              <a:cs typeface="Arial"/>
            </a:rPr>
            <a:t>2</a:t>
          </a:r>
        </a:p>
      </xdr:txBody>
    </xdr:sp>
    <xdr:clientData/>
  </xdr:twoCellAnchor>
  <xdr:twoCellAnchor>
    <xdr:from>
      <xdr:col>8</xdr:col>
      <xdr:colOff>352425</xdr:colOff>
      <xdr:row>82</xdr:row>
      <xdr:rowOff>19050</xdr:rowOff>
    </xdr:from>
    <xdr:to>
      <xdr:col>8</xdr:col>
      <xdr:colOff>600075</xdr:colOff>
      <xdr:row>82</xdr:row>
      <xdr:rowOff>228600</xdr:rowOff>
    </xdr:to>
    <xdr:sp>
      <xdr:nvSpPr>
        <xdr:cNvPr id="84" name="Text Box 100"/>
        <xdr:cNvSpPr txBox="1">
          <a:spLocks noChangeArrowheads="1"/>
        </xdr:cNvSpPr>
      </xdr:nvSpPr>
      <xdr:spPr>
        <a:xfrm>
          <a:off x="6600825" y="17449800"/>
          <a:ext cx="247650" cy="209550"/>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in.</a:t>
          </a:r>
        </a:p>
      </xdr:txBody>
    </xdr:sp>
    <xdr:clientData/>
  </xdr:twoCellAnchor>
  <xdr:twoCellAnchor>
    <xdr:from>
      <xdr:col>8</xdr:col>
      <xdr:colOff>457200</xdr:colOff>
      <xdr:row>85</xdr:row>
      <xdr:rowOff>19050</xdr:rowOff>
    </xdr:from>
    <xdr:to>
      <xdr:col>8</xdr:col>
      <xdr:colOff>742950</xdr:colOff>
      <xdr:row>85</xdr:row>
      <xdr:rowOff>219075</xdr:rowOff>
    </xdr:to>
    <xdr:sp>
      <xdr:nvSpPr>
        <xdr:cNvPr id="85" name="Text Box 101"/>
        <xdr:cNvSpPr txBox="1">
          <a:spLocks noChangeArrowheads="1"/>
        </xdr:cNvSpPr>
      </xdr:nvSpPr>
      <xdr:spPr>
        <a:xfrm>
          <a:off x="6705600" y="18107025"/>
          <a:ext cx="285750"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8</xdr:col>
      <xdr:colOff>257175</xdr:colOff>
      <xdr:row>86</xdr:row>
      <xdr:rowOff>180975</xdr:rowOff>
    </xdr:from>
    <xdr:to>
      <xdr:col>8</xdr:col>
      <xdr:colOff>638175</xdr:colOff>
      <xdr:row>87</xdr:row>
      <xdr:rowOff>190500</xdr:rowOff>
    </xdr:to>
    <xdr:sp>
      <xdr:nvSpPr>
        <xdr:cNvPr id="86" name="Text Box 102"/>
        <xdr:cNvSpPr txBox="1">
          <a:spLocks noChangeArrowheads="1"/>
        </xdr:cNvSpPr>
      </xdr:nvSpPr>
      <xdr:spPr>
        <a:xfrm>
          <a:off x="6505575" y="18507075"/>
          <a:ext cx="381000" cy="2476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yd</a:t>
          </a:r>
          <a:r>
            <a:rPr lang="en-US" cap="none" sz="1200" b="1" i="0" u="none" baseline="30000">
              <a:solidFill>
                <a:srgbClr val="000000"/>
              </a:solidFill>
              <a:latin typeface="Arial"/>
              <a:ea typeface="Arial"/>
              <a:cs typeface="Arial"/>
            </a:rPr>
            <a:t>3</a:t>
          </a:r>
        </a:p>
      </xdr:txBody>
    </xdr:sp>
    <xdr:clientData/>
  </xdr:twoCellAnchor>
  <xdr:twoCellAnchor>
    <xdr:from>
      <xdr:col>1</xdr:col>
      <xdr:colOff>447675</xdr:colOff>
      <xdr:row>93</xdr:row>
      <xdr:rowOff>0</xdr:rowOff>
    </xdr:from>
    <xdr:to>
      <xdr:col>1</xdr:col>
      <xdr:colOff>704850</xdr:colOff>
      <xdr:row>94</xdr:row>
      <xdr:rowOff>66675</xdr:rowOff>
    </xdr:to>
    <xdr:sp>
      <xdr:nvSpPr>
        <xdr:cNvPr id="87" name="Text Box 103"/>
        <xdr:cNvSpPr txBox="1">
          <a:spLocks noChangeArrowheads="1"/>
        </xdr:cNvSpPr>
      </xdr:nvSpPr>
      <xdr:spPr>
        <a:xfrm>
          <a:off x="1228725" y="19716750"/>
          <a:ext cx="257175" cy="25717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3</xdr:col>
      <xdr:colOff>457200</xdr:colOff>
      <xdr:row>91</xdr:row>
      <xdr:rowOff>0</xdr:rowOff>
    </xdr:from>
    <xdr:to>
      <xdr:col>3</xdr:col>
      <xdr:colOff>695325</xdr:colOff>
      <xdr:row>92</xdr:row>
      <xdr:rowOff>9525</xdr:rowOff>
    </xdr:to>
    <xdr:sp>
      <xdr:nvSpPr>
        <xdr:cNvPr id="88" name="Text Box 104"/>
        <xdr:cNvSpPr txBox="1">
          <a:spLocks noChangeArrowheads="1"/>
        </xdr:cNvSpPr>
      </xdr:nvSpPr>
      <xdr:spPr>
        <a:xfrm>
          <a:off x="2800350" y="19335750"/>
          <a:ext cx="238125" cy="20002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3</xdr:col>
      <xdr:colOff>295275</xdr:colOff>
      <xdr:row>92</xdr:row>
      <xdr:rowOff>142875</xdr:rowOff>
    </xdr:from>
    <xdr:to>
      <xdr:col>3</xdr:col>
      <xdr:colOff>666750</xdr:colOff>
      <xdr:row>94</xdr:row>
      <xdr:rowOff>9525</xdr:rowOff>
    </xdr:to>
    <xdr:sp>
      <xdr:nvSpPr>
        <xdr:cNvPr id="89" name="Text Box 105"/>
        <xdr:cNvSpPr txBox="1">
          <a:spLocks noChangeArrowheads="1"/>
        </xdr:cNvSpPr>
      </xdr:nvSpPr>
      <xdr:spPr>
        <a:xfrm>
          <a:off x="2638425" y="19669125"/>
          <a:ext cx="371475" cy="2476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yd</a:t>
          </a:r>
          <a:r>
            <a:rPr lang="en-US" cap="none" sz="1200" b="1" i="0" u="none" baseline="30000">
              <a:solidFill>
                <a:srgbClr val="000000"/>
              </a:solidFill>
              <a:latin typeface="Arial"/>
              <a:ea typeface="Arial"/>
              <a:cs typeface="Arial"/>
            </a:rPr>
            <a:t>2</a:t>
          </a:r>
        </a:p>
      </xdr:txBody>
    </xdr:sp>
    <xdr:clientData/>
  </xdr:twoCellAnchor>
  <xdr:twoCellAnchor>
    <xdr:from>
      <xdr:col>1</xdr:col>
      <xdr:colOff>476250</xdr:colOff>
      <xdr:row>86</xdr:row>
      <xdr:rowOff>200025</xdr:rowOff>
    </xdr:from>
    <xdr:to>
      <xdr:col>1</xdr:col>
      <xdr:colOff>733425</xdr:colOff>
      <xdr:row>88</xdr:row>
      <xdr:rowOff>9525</xdr:rowOff>
    </xdr:to>
    <xdr:sp>
      <xdr:nvSpPr>
        <xdr:cNvPr id="90" name="Text Box 106"/>
        <xdr:cNvSpPr txBox="1">
          <a:spLocks noChangeArrowheads="1"/>
        </xdr:cNvSpPr>
      </xdr:nvSpPr>
      <xdr:spPr>
        <a:xfrm>
          <a:off x="1257300" y="18526125"/>
          <a:ext cx="257175" cy="257175"/>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r>
            <a:rPr lang="en-US" cap="none" sz="1200" b="1" i="0" u="none" baseline="30000">
              <a:solidFill>
                <a:srgbClr val="000000"/>
              </a:solidFill>
              <a:latin typeface="Arial"/>
              <a:ea typeface="Arial"/>
              <a:cs typeface="Arial"/>
            </a:rPr>
            <a:t>2</a:t>
          </a:r>
        </a:p>
      </xdr:txBody>
    </xdr:sp>
    <xdr:clientData/>
  </xdr:twoCellAnchor>
  <xdr:twoCellAnchor>
    <xdr:from>
      <xdr:col>3</xdr:col>
      <xdr:colOff>447675</xdr:colOff>
      <xdr:row>85</xdr:row>
      <xdr:rowOff>19050</xdr:rowOff>
    </xdr:from>
    <xdr:to>
      <xdr:col>3</xdr:col>
      <xdr:colOff>742950</xdr:colOff>
      <xdr:row>85</xdr:row>
      <xdr:rowOff>228600</xdr:rowOff>
    </xdr:to>
    <xdr:sp>
      <xdr:nvSpPr>
        <xdr:cNvPr id="91" name="Text Box 107"/>
        <xdr:cNvSpPr txBox="1">
          <a:spLocks noChangeArrowheads="1"/>
        </xdr:cNvSpPr>
      </xdr:nvSpPr>
      <xdr:spPr>
        <a:xfrm>
          <a:off x="2790825" y="18107025"/>
          <a:ext cx="295275" cy="2095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ft.</a:t>
          </a:r>
        </a:p>
      </xdr:txBody>
    </xdr:sp>
    <xdr:clientData/>
  </xdr:twoCellAnchor>
  <xdr:twoCellAnchor>
    <xdr:from>
      <xdr:col>3</xdr:col>
      <xdr:colOff>276225</xdr:colOff>
      <xdr:row>86</xdr:row>
      <xdr:rowOff>190500</xdr:rowOff>
    </xdr:from>
    <xdr:to>
      <xdr:col>3</xdr:col>
      <xdr:colOff>685800</xdr:colOff>
      <xdr:row>87</xdr:row>
      <xdr:rowOff>200025</xdr:rowOff>
    </xdr:to>
    <xdr:sp>
      <xdr:nvSpPr>
        <xdr:cNvPr id="92" name="Text Box 108"/>
        <xdr:cNvSpPr txBox="1">
          <a:spLocks noChangeArrowheads="1"/>
        </xdr:cNvSpPr>
      </xdr:nvSpPr>
      <xdr:spPr>
        <a:xfrm>
          <a:off x="2619375" y="18516600"/>
          <a:ext cx="409575" cy="247650"/>
        </a:xfrm>
        <a:prstGeom prst="rect">
          <a:avLst/>
        </a:prstGeom>
        <a:noFill/>
        <a:ln w="127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yd</a:t>
          </a:r>
          <a:r>
            <a:rPr lang="en-US" cap="none" sz="1200" b="1" i="0" u="none" baseline="30000">
              <a:solidFill>
                <a:srgbClr val="000000"/>
              </a:solidFill>
              <a:latin typeface="Arial"/>
              <a:ea typeface="Arial"/>
              <a:cs typeface="Arial"/>
            </a:rPr>
            <a:t>3</a:t>
          </a:r>
        </a:p>
      </xdr:txBody>
    </xdr:sp>
    <xdr:clientData/>
  </xdr:twoCellAnchor>
  <xdr:twoCellAnchor>
    <xdr:from>
      <xdr:col>2</xdr:col>
      <xdr:colOff>638175</xdr:colOff>
      <xdr:row>13</xdr:row>
      <xdr:rowOff>38100</xdr:rowOff>
    </xdr:from>
    <xdr:to>
      <xdr:col>3</xdr:col>
      <xdr:colOff>238125</xdr:colOff>
      <xdr:row>13</xdr:row>
      <xdr:rowOff>247650</xdr:rowOff>
    </xdr:to>
    <xdr:sp>
      <xdr:nvSpPr>
        <xdr:cNvPr id="93" name="Text Box 110"/>
        <xdr:cNvSpPr txBox="1">
          <a:spLocks noChangeArrowheads="1"/>
        </xdr:cNvSpPr>
      </xdr:nvSpPr>
      <xdr:spPr>
        <a:xfrm>
          <a:off x="2200275" y="2828925"/>
          <a:ext cx="381000" cy="209550"/>
        </a:xfrm>
        <a:prstGeom prst="rect">
          <a:avLst/>
        </a:prstGeom>
        <a:noFill/>
        <a:ln w="12700"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ft/ft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37</xdr:row>
      <xdr:rowOff>85725</xdr:rowOff>
    </xdr:from>
    <xdr:to>
      <xdr:col>2</xdr:col>
      <xdr:colOff>752475</xdr:colOff>
      <xdr:row>38</xdr:row>
      <xdr:rowOff>180975</xdr:rowOff>
    </xdr:to>
    <xdr:sp>
      <xdr:nvSpPr>
        <xdr:cNvPr id="1" name="Line 8"/>
        <xdr:cNvSpPr>
          <a:spLocks/>
        </xdr:cNvSpPr>
      </xdr:nvSpPr>
      <xdr:spPr>
        <a:xfrm>
          <a:off x="2419350" y="8153400"/>
          <a:ext cx="0"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20"/>
  <sheetViews>
    <sheetView tabSelected="1" zoomScalePageLayoutView="0" workbookViewId="0" topLeftCell="A1">
      <selection activeCell="C5" sqref="C5:E5"/>
    </sheetView>
  </sheetViews>
  <sheetFormatPr defaultColWidth="9.00390625" defaultRowHeight="14.25" zeroHeight="1"/>
  <cols>
    <col min="1" max="1" width="7.625" style="302" customWidth="1"/>
    <col min="2" max="7" width="12.625" style="302" customWidth="1"/>
    <col min="8" max="8" width="13.625" style="302" customWidth="1"/>
    <col min="9" max="9" width="12.625" style="302" customWidth="1"/>
    <col min="10" max="10" width="5.625" style="302" customWidth="1"/>
    <col min="11" max="11" width="17.375" style="302" customWidth="1"/>
    <col min="12" max="15" width="12.625" style="302" hidden="1" customWidth="1"/>
    <col min="16" max="26" width="0" style="302" hidden="1" customWidth="1"/>
    <col min="27" max="16384" width="9.00390625" style="302" customWidth="1"/>
  </cols>
  <sheetData>
    <row r="1" spans="1:11" ht="26.25">
      <c r="A1" s="503" t="s">
        <v>167</v>
      </c>
      <c r="B1" s="504"/>
      <c r="C1" s="504"/>
      <c r="D1" s="504"/>
      <c r="E1" s="504"/>
      <c r="F1" s="504"/>
      <c r="G1" s="504"/>
      <c r="H1" s="504"/>
      <c r="I1" s="504"/>
      <c r="J1" s="504"/>
      <c r="K1" s="12"/>
    </row>
    <row r="2" spans="1:11" ht="13.5" customHeight="1">
      <c r="A2" s="507" t="s">
        <v>421</v>
      </c>
      <c r="B2" s="507"/>
      <c r="C2" s="507"/>
      <c r="D2" s="507"/>
      <c r="E2" s="507"/>
      <c r="F2" s="507"/>
      <c r="G2" s="507"/>
      <c r="H2" s="507"/>
      <c r="I2" s="507"/>
      <c r="J2" s="507"/>
      <c r="K2" s="12"/>
    </row>
    <row r="3" spans="1:11" ht="8.25" customHeight="1">
      <c r="A3" s="508"/>
      <c r="B3" s="508"/>
      <c r="C3" s="508"/>
      <c r="D3" s="508"/>
      <c r="E3" s="508"/>
      <c r="F3" s="508"/>
      <c r="G3" s="508"/>
      <c r="H3" s="508"/>
      <c r="I3" s="508"/>
      <c r="J3" s="508"/>
      <c r="K3" s="12"/>
    </row>
    <row r="4" spans="1:11" ht="15" customHeight="1">
      <c r="A4" s="508"/>
      <c r="B4" s="15" t="s">
        <v>29</v>
      </c>
      <c r="C4" s="509" t="s">
        <v>311</v>
      </c>
      <c r="D4" s="510"/>
      <c r="E4" s="510"/>
      <c r="F4" s="492"/>
      <c r="G4" s="15" t="s">
        <v>104</v>
      </c>
      <c r="H4" s="509" t="s">
        <v>313</v>
      </c>
      <c r="I4" s="513"/>
      <c r="J4" s="12"/>
      <c r="K4" s="12"/>
    </row>
    <row r="5" spans="1:11" ht="15" customHeight="1">
      <c r="A5" s="508"/>
      <c r="B5" s="15" t="s">
        <v>30</v>
      </c>
      <c r="C5" s="511" t="s">
        <v>312</v>
      </c>
      <c r="D5" s="512"/>
      <c r="E5" s="512"/>
      <c r="F5" s="492"/>
      <c r="G5" s="15" t="s">
        <v>56</v>
      </c>
      <c r="H5" s="493"/>
      <c r="I5" s="494"/>
      <c r="J5" s="12"/>
      <c r="K5" s="74"/>
    </row>
    <row r="6" spans="1:11" ht="14.25" customHeight="1">
      <c r="A6" s="508"/>
      <c r="B6" s="15" t="s">
        <v>31</v>
      </c>
      <c r="C6" s="514">
        <v>38892</v>
      </c>
      <c r="D6" s="515"/>
      <c r="E6" s="515"/>
      <c r="F6" s="492"/>
      <c r="G6" s="15" t="s">
        <v>57</v>
      </c>
      <c r="H6" s="189"/>
      <c r="I6" s="190"/>
      <c r="J6" s="12"/>
      <c r="K6" s="12"/>
    </row>
    <row r="7" spans="1:11" ht="6.75" customHeight="1">
      <c r="A7" s="518" t="s">
        <v>298</v>
      </c>
      <c r="B7" s="502"/>
      <c r="C7" s="502"/>
      <c r="D7" s="502"/>
      <c r="E7" s="502"/>
      <c r="F7" s="502"/>
      <c r="G7" s="502"/>
      <c r="H7" s="502"/>
      <c r="I7" s="502"/>
      <c r="J7" s="502"/>
      <c r="K7" s="12"/>
    </row>
    <row r="8" spans="1:16" ht="12" customHeight="1" thickBot="1">
      <c r="A8" s="519"/>
      <c r="B8" s="519"/>
      <c r="C8" s="519"/>
      <c r="D8" s="519"/>
      <c r="E8" s="519"/>
      <c r="F8" s="519"/>
      <c r="G8" s="519"/>
      <c r="H8" s="519"/>
      <c r="I8" s="519"/>
      <c r="J8" s="519"/>
      <c r="K8" s="191"/>
      <c r="L8" s="99"/>
      <c r="M8" s="99"/>
      <c r="N8" s="99"/>
      <c r="O8" s="99"/>
      <c r="P8" s="99"/>
    </row>
    <row r="9" spans="1:16" ht="15" customHeight="1" thickTop="1">
      <c r="A9" s="371"/>
      <c r="B9" s="505" t="s">
        <v>293</v>
      </c>
      <c r="C9" s="506"/>
      <c r="D9" s="3"/>
      <c r="E9" s="505" t="s">
        <v>10</v>
      </c>
      <c r="F9" s="506"/>
      <c r="G9" s="3"/>
      <c r="H9" s="505" t="s">
        <v>296</v>
      </c>
      <c r="I9" s="506"/>
      <c r="J9" s="8"/>
      <c r="K9" s="192"/>
      <c r="L9" s="99"/>
      <c r="M9" s="99"/>
      <c r="N9" s="99"/>
      <c r="O9" s="99"/>
      <c r="P9" s="99"/>
    </row>
    <row r="10" spans="1:16" ht="15" customHeight="1">
      <c r="A10" s="4"/>
      <c r="B10" s="10" t="s">
        <v>120</v>
      </c>
      <c r="C10" s="166">
        <v>25</v>
      </c>
      <c r="D10" s="5"/>
      <c r="E10" s="10" t="s">
        <v>120</v>
      </c>
      <c r="F10" s="166">
        <v>50</v>
      </c>
      <c r="G10" s="5"/>
      <c r="H10" s="10" t="s">
        <v>120</v>
      </c>
      <c r="I10" s="166">
        <v>20</v>
      </c>
      <c r="J10" s="9"/>
      <c r="K10" s="192"/>
      <c r="L10" s="99"/>
      <c r="M10" s="99"/>
      <c r="N10" s="99"/>
      <c r="O10" s="99"/>
      <c r="P10" s="99"/>
    </row>
    <row r="11" spans="1:16" ht="15" customHeight="1">
      <c r="A11" s="4"/>
      <c r="B11" s="10" t="s">
        <v>121</v>
      </c>
      <c r="C11" s="166">
        <v>4</v>
      </c>
      <c r="D11" s="5"/>
      <c r="E11" s="10" t="s">
        <v>125</v>
      </c>
      <c r="F11" s="372">
        <v>1.2</v>
      </c>
      <c r="G11" s="373" t="str">
        <f>IF($F$11&lt;1.2,"Increase Fs","1.2 Min ")</f>
        <v>1.2 Min </v>
      </c>
      <c r="H11" s="10" t="s">
        <v>121</v>
      </c>
      <c r="I11" s="166">
        <v>4</v>
      </c>
      <c r="J11" s="9"/>
      <c r="K11" s="192"/>
      <c r="L11" s="99"/>
      <c r="M11" s="99"/>
      <c r="N11" s="99"/>
      <c r="O11" s="99"/>
      <c r="P11" s="99"/>
    </row>
    <row r="12" spans="1:16" ht="15" customHeight="1">
      <c r="A12" s="4"/>
      <c r="B12" s="10" t="s">
        <v>294</v>
      </c>
      <c r="C12" s="374">
        <v>0.08</v>
      </c>
      <c r="D12" s="5"/>
      <c r="E12" s="10" t="s">
        <v>121</v>
      </c>
      <c r="F12" s="166">
        <v>2</v>
      </c>
      <c r="G12" s="373" t="str">
        <f>IF(mc&gt;=2,"2.0:1 max.","Too Steep")</f>
        <v>2.0:1 max.</v>
      </c>
      <c r="H12" s="375" t="s">
        <v>297</v>
      </c>
      <c r="I12" s="374">
        <v>0.04</v>
      </c>
      <c r="J12" s="9"/>
      <c r="K12" s="192"/>
      <c r="L12" s="127"/>
      <c r="M12" s="128"/>
      <c r="N12" s="128"/>
      <c r="O12" s="128"/>
      <c r="P12" s="128"/>
    </row>
    <row r="13" spans="1:16" ht="15.75" customHeight="1">
      <c r="A13" s="4"/>
      <c r="B13" s="10" t="s">
        <v>124</v>
      </c>
      <c r="C13" s="376">
        <v>0.02</v>
      </c>
      <c r="D13" s="5"/>
      <c r="E13" s="377" t="str">
        <f>CONCATENATE("Bed slope (",ROUND(1/Sc,1),":1) =","")</f>
        <v>Bed slope (4:1) =</v>
      </c>
      <c r="F13" s="374">
        <v>0.25</v>
      </c>
      <c r="G13" s="373" t="str">
        <f>IF(Sc&lt;=1/3,"3.0:1 max.","Too Steep")</f>
        <v>3.0:1 max.</v>
      </c>
      <c r="H13" s="10" t="s">
        <v>122</v>
      </c>
      <c r="I13" s="376">
        <v>0.01</v>
      </c>
      <c r="J13" s="9"/>
      <c r="K13" s="193"/>
      <c r="L13" s="128"/>
      <c r="M13" s="128"/>
      <c r="N13" s="128"/>
      <c r="O13" s="128"/>
      <c r="P13" s="128"/>
    </row>
    <row r="14" spans="1:16" ht="15.75" customHeight="1">
      <c r="A14" s="378" t="s">
        <v>306</v>
      </c>
      <c r="B14" s="10"/>
      <c r="C14" s="379"/>
      <c r="D14" s="5"/>
      <c r="E14" s="10" t="s">
        <v>46</v>
      </c>
      <c r="F14" s="166">
        <v>0.5</v>
      </c>
      <c r="G14" s="373" t="str">
        <f>IF($F$14&lt;0.5,"Increase Freeboard"," ")</f>
        <v> </v>
      </c>
      <c r="H14" s="465"/>
      <c r="I14" s="465"/>
      <c r="J14" s="9"/>
      <c r="K14" s="193"/>
      <c r="L14" s="128"/>
      <c r="M14" s="128"/>
      <c r="N14" s="128"/>
      <c r="O14" s="128"/>
      <c r="P14" s="128"/>
    </row>
    <row r="15" spans="1:16" ht="15.75" customHeight="1" thickBot="1">
      <c r="A15" s="380" t="s">
        <v>307</v>
      </c>
      <c r="B15" s="322"/>
      <c r="C15" s="322"/>
      <c r="D15" s="7"/>
      <c r="E15" s="11" t="s">
        <v>245</v>
      </c>
      <c r="F15" s="167">
        <v>1</v>
      </c>
      <c r="G15" s="373"/>
      <c r="H15" s="11" t="s">
        <v>123</v>
      </c>
      <c r="I15" s="167">
        <v>0</v>
      </c>
      <c r="J15" s="381"/>
      <c r="K15" s="193"/>
      <c r="L15" s="128"/>
      <c r="M15" s="128"/>
      <c r="N15" s="128"/>
      <c r="O15" s="128"/>
      <c r="P15" s="128"/>
    </row>
    <row r="16" spans="1:16" ht="12" customHeight="1" thickTop="1">
      <c r="A16" s="500" t="s">
        <v>295</v>
      </c>
      <c r="B16" s="501"/>
      <c r="C16" s="501"/>
      <c r="D16" s="501"/>
      <c r="E16" s="501"/>
      <c r="F16" s="501"/>
      <c r="G16" s="501"/>
      <c r="H16" s="501"/>
      <c r="I16" s="501"/>
      <c r="J16" s="501"/>
      <c r="K16" s="194"/>
      <c r="L16" s="128"/>
      <c r="M16" s="128"/>
      <c r="N16" s="128"/>
      <c r="O16" s="128"/>
      <c r="P16" s="128"/>
    </row>
    <row r="17" spans="1:16" ht="12" customHeight="1" thickBot="1">
      <c r="A17" s="502"/>
      <c r="B17" s="502"/>
      <c r="C17" s="502"/>
      <c r="D17" s="502"/>
      <c r="E17" s="502"/>
      <c r="F17" s="502"/>
      <c r="G17" s="502"/>
      <c r="H17" s="502"/>
      <c r="I17" s="502"/>
      <c r="J17" s="502"/>
      <c r="K17" s="195"/>
      <c r="L17" s="128"/>
      <c r="M17" s="296" t="s">
        <v>283</v>
      </c>
      <c r="N17" s="296" t="s">
        <v>284</v>
      </c>
      <c r="O17" s="296" t="s">
        <v>285</v>
      </c>
      <c r="P17" s="128"/>
    </row>
    <row r="18" spans="1:16" ht="15" customHeight="1" thickTop="1">
      <c r="A18" s="13"/>
      <c r="B18" s="316"/>
      <c r="C18" s="367">
        <v>100</v>
      </c>
      <c r="D18" s="368">
        <v>91</v>
      </c>
      <c r="E18" s="315"/>
      <c r="F18" s="327" t="str">
        <f>CONCATENATE(ROUND(C18-D18-d,1)," ft.)")</f>
        <v>8 ft.)</v>
      </c>
      <c r="G18" s="321" t="s">
        <v>289</v>
      </c>
      <c r="H18" s="3"/>
      <c r="I18" s="3"/>
      <c r="J18" s="8"/>
      <c r="K18" s="317"/>
      <c r="L18" s="319">
        <v>3</v>
      </c>
      <c r="M18" s="318" t="e">
        <f>IF(AND($L$18=1,#REF!&lt;=1200,$C$18-$D$18-d&lt;=5),"Q5-year",IF(AND($L$18=1,#REF!&lt;=2200,$C$18-$D$18-d&lt;=10),"Q10-year","Q25-year"))</f>
        <v>#REF!</v>
      </c>
      <c r="N18" s="318" t="e">
        <f>IF(AND($L$18=2,#REF!&lt;=450,$C$18-$D$18-d&lt;=5),"Q5-year",IF(AND($L$18=2,#REF!&lt;=900,$C$18-$D$18-d&lt;=10),"Q10-year","Q25-year"))</f>
        <v>#REF!</v>
      </c>
      <c r="O18" s="318" t="e">
        <f>IF(AND($L$18=3,#REF!&lt;=250,$C$18-$D$18-d&lt;=5),"Q5-year",IF(AND($L$18=3,#REF!&lt;=500,$C$18-$D$18-d&lt;=10),"Q10-year","Q25-year"))</f>
        <v>#REF!</v>
      </c>
      <c r="P18" s="128"/>
    </row>
    <row r="19" spans="1:16" ht="18" customHeight="1">
      <c r="A19" s="14"/>
      <c r="B19" s="10"/>
      <c r="C19" s="322"/>
      <c r="D19" s="322"/>
      <c r="E19" s="322"/>
      <c r="F19" s="322"/>
      <c r="G19" s="120" t="s">
        <v>288</v>
      </c>
      <c r="H19" s="121"/>
      <c r="I19" s="121"/>
      <c r="J19" s="9"/>
      <c r="K19" s="195"/>
      <c r="L19" s="128"/>
      <c r="M19" s="318" t="e">
        <f>IF(AND($L$18=1,#REF!&lt;=1200,$C$18-$D$18-d&lt;=5),"Q10-year",IF(AND($L$18=1,#REF!&lt;=2200,$C$18-$D$18-d&lt;=10),"Q25-year","Q100-year"))</f>
        <v>#REF!</v>
      </c>
      <c r="N19" s="318" t="e">
        <f>IF(AND($L$18=2,#REF!&lt;=450,$C$18-$D$18-d&lt;=5),"Q10-year",IF(AND($L$18=2,#REF!&lt;=900,$C$18-$D$18-d&lt;=10),"Q25-year","Q100-year"))</f>
        <v>#REF!</v>
      </c>
      <c r="O19" s="318" t="e">
        <f>IF(AND($L$18=3,#REF!&lt;=250,$C$18-$D$18-d&lt;=5),"Q10-year",IF(AND($L$18=3,#REF!&lt;=500,$C$18-$D$18-d&lt;=10),"Q25-year","Q100-year"))</f>
        <v>#REF!</v>
      </c>
      <c r="P19" s="128"/>
    </row>
    <row r="20" spans="1:16" ht="15" customHeight="1">
      <c r="A20" s="366" t="s">
        <v>299</v>
      </c>
      <c r="B20" s="10"/>
      <c r="C20" s="151"/>
      <c r="D20" s="322"/>
      <c r="E20" s="5"/>
      <c r="F20" s="5"/>
      <c r="G20" s="122" t="s">
        <v>287</v>
      </c>
      <c r="H20" s="121"/>
      <c r="I20" s="121"/>
      <c r="J20" s="9"/>
      <c r="K20" s="195"/>
      <c r="L20" s="128"/>
      <c r="M20" s="128"/>
      <c r="N20" s="128"/>
      <c r="O20" s="128"/>
      <c r="P20" s="128"/>
    </row>
    <row r="21" spans="1:16" ht="18" customHeight="1">
      <c r="A21" s="366" t="s">
        <v>292</v>
      </c>
      <c r="B21" s="10"/>
      <c r="C21" s="151"/>
      <c r="D21" s="322"/>
      <c r="E21" s="5"/>
      <c r="F21" s="5"/>
      <c r="G21" s="320" t="s">
        <v>286</v>
      </c>
      <c r="H21" s="5"/>
      <c r="I21" s="324">
        <v>0.25</v>
      </c>
      <c r="J21" s="397">
        <v>1.2</v>
      </c>
      <c r="K21" s="193"/>
      <c r="L21" s="129" t="s">
        <v>73</v>
      </c>
      <c r="M21" s="128"/>
      <c r="N21" s="128"/>
      <c r="O21" s="128"/>
      <c r="P21" s="128"/>
    </row>
    <row r="22" spans="1:16" ht="18" customHeight="1">
      <c r="A22" s="4"/>
      <c r="B22" s="10" t="s">
        <v>126</v>
      </c>
      <c r="C22" s="166">
        <v>99</v>
      </c>
      <c r="D22" s="132" t="s">
        <v>259</v>
      </c>
      <c r="E22" s="5"/>
      <c r="F22" s="5"/>
      <c r="G22" s="10" t="s">
        <v>33</v>
      </c>
      <c r="H22" s="168" t="s">
        <v>60</v>
      </c>
      <c r="I22" s="324"/>
      <c r="J22" s="9"/>
      <c r="K22" s="193"/>
      <c r="L22" s="290">
        <f>IF(H22="Program","",Bwo*H22+mo*H22^2)</f>
      </c>
      <c r="M22" s="128"/>
      <c r="N22" s="128"/>
      <c r="O22" s="128"/>
      <c r="P22" s="128"/>
    </row>
    <row r="23" spans="1:16" ht="18.75" customHeight="1" thickBot="1">
      <c r="A23" s="6"/>
      <c r="B23" s="11" t="s">
        <v>291</v>
      </c>
      <c r="C23" s="167">
        <v>50</v>
      </c>
      <c r="D23" s="133" t="s">
        <v>260</v>
      </c>
      <c r="E23" s="7"/>
      <c r="F23" s="7"/>
      <c r="G23" s="11" t="s">
        <v>33</v>
      </c>
      <c r="H23" s="168" t="s">
        <v>60</v>
      </c>
      <c r="I23" s="323"/>
      <c r="J23" s="2"/>
      <c r="K23" s="193"/>
      <c r="L23" s="130"/>
      <c r="M23" s="128"/>
      <c r="N23" s="128"/>
      <c r="O23" s="128"/>
      <c r="P23" s="128"/>
    </row>
    <row r="24" spans="1:16" ht="10.5" customHeight="1" thickTop="1">
      <c r="A24" s="500" t="s">
        <v>98</v>
      </c>
      <c r="B24" s="501"/>
      <c r="C24" s="501"/>
      <c r="D24" s="501"/>
      <c r="E24" s="501"/>
      <c r="F24" s="501"/>
      <c r="G24" s="501"/>
      <c r="H24" s="501"/>
      <c r="I24" s="501"/>
      <c r="J24" s="501"/>
      <c r="K24" s="195"/>
      <c r="L24" s="128"/>
      <c r="M24" s="128"/>
      <c r="N24" s="128"/>
      <c r="O24" s="128"/>
      <c r="P24" s="128"/>
    </row>
    <row r="25" spans="1:16" ht="10.5" customHeight="1" thickBot="1">
      <c r="A25" s="519"/>
      <c r="B25" s="519"/>
      <c r="C25" s="502"/>
      <c r="D25" s="519"/>
      <c r="E25" s="519"/>
      <c r="F25" s="519"/>
      <c r="G25" s="519"/>
      <c r="H25" s="519"/>
      <c r="I25" s="519"/>
      <c r="J25" s="519"/>
      <c r="K25" s="195"/>
      <c r="L25" s="128"/>
      <c r="M25" s="128"/>
      <c r="N25" s="128"/>
      <c r="O25" s="128"/>
      <c r="P25" s="128"/>
    </row>
    <row r="26" spans="1:16" ht="18.75" customHeight="1" thickBot="1" thickTop="1">
      <c r="A26" s="521" t="s">
        <v>413</v>
      </c>
      <c r="B26" s="521"/>
      <c r="C26" s="479">
        <v>0</v>
      </c>
      <c r="D26" s="495"/>
      <c r="E26" s="496"/>
      <c r="F26" s="496"/>
      <c r="G26" s="24" t="s">
        <v>248</v>
      </c>
      <c r="H26" s="17"/>
      <c r="I26" s="17"/>
      <c r="J26" s="18"/>
      <c r="K26" s="193"/>
      <c r="L26" s="128"/>
      <c r="M26" s="128" t="str">
        <f>IF(Calculations!L8=0,"Solved","Not Solved")</f>
        <v>Solved</v>
      </c>
      <c r="N26" s="128"/>
      <c r="O26" s="128"/>
      <c r="P26" s="128"/>
    </row>
    <row r="27" spans="1:16" ht="16.5" customHeight="1" thickTop="1">
      <c r="A27" s="19"/>
      <c r="B27" s="33" t="s">
        <v>71</v>
      </c>
      <c r="C27" s="106" t="str">
        <f>IF(M26="Not Solved"," Not Solved ",CONCATENATE("",ROUND(Calculations!H41,2)," ft. (",ROUND(Calculations!H48,2)," ft.)"))</f>
        <v>71.95 ft. (15.63 ft.)</v>
      </c>
      <c r="D27" s="21"/>
      <c r="E27" s="22"/>
      <c r="F27" s="23"/>
      <c r="G27" s="40" t="s">
        <v>246</v>
      </c>
      <c r="H27" s="22"/>
      <c r="I27" s="22"/>
      <c r="J27" s="25"/>
      <c r="K27" s="193"/>
      <c r="L27" s="128"/>
      <c r="M27" s="128"/>
      <c r="N27" s="128"/>
      <c r="O27" s="128"/>
      <c r="P27" s="128"/>
    </row>
    <row r="28" spans="1:16" ht="18.75">
      <c r="A28" s="26"/>
      <c r="B28" s="27" t="s">
        <v>72</v>
      </c>
      <c r="C28" s="111" t="str">
        <f>IF(M26="Not Solved","     ---- ",CONCATENATE("",ROUND(Calculations!H41+Calculations!H38,2)," ft."))</f>
        <v>72 ft.</v>
      </c>
      <c r="D28" s="20"/>
      <c r="E28" s="107" t="str">
        <f>IF(M26="Not Solved","Not Solved ",CONCATENATE("",ROUND(Calculations!C22,2)," ft. (",ROUND(Calculations!F22,2)," ft.)"))</f>
        <v>0.24 ft. (0.16 ft.)</v>
      </c>
      <c r="F28" s="28"/>
      <c r="G28" s="29" t="s">
        <v>279</v>
      </c>
      <c r="H28" s="22"/>
      <c r="I28" s="22"/>
      <c r="J28" s="25"/>
      <c r="K28" s="193"/>
      <c r="L28" s="128"/>
      <c r="M28" s="128"/>
      <c r="N28" s="128"/>
      <c r="O28" s="128"/>
      <c r="P28" s="128"/>
    </row>
    <row r="29" spans="1:16" ht="18.75">
      <c r="A29" s="26"/>
      <c r="B29" s="20" t="s">
        <v>49</v>
      </c>
      <c r="C29" s="22"/>
      <c r="D29" s="27" t="s">
        <v>70</v>
      </c>
      <c r="E29" s="111" t="str">
        <f>IF(M26="Not Solved","    ---- ",CONCATENATE("",ROUND(Calculations!C21,2)," ft. "))</f>
        <v>0.73 ft. </v>
      </c>
      <c r="F29" s="22"/>
      <c r="G29" s="29" t="s">
        <v>277</v>
      </c>
      <c r="H29" s="22"/>
      <c r="I29" s="22"/>
      <c r="J29" s="25"/>
      <c r="K29" s="193"/>
      <c r="L29" s="128"/>
      <c r="M29" s="128"/>
      <c r="N29" s="128"/>
      <c r="O29" s="128"/>
      <c r="P29" s="128"/>
    </row>
    <row r="30" spans="1:16" ht="18.75">
      <c r="A30" s="26"/>
      <c r="B30" s="22"/>
      <c r="C30" s="22"/>
      <c r="D30" s="22"/>
      <c r="E30" s="22"/>
      <c r="F30" s="22"/>
      <c r="G30" s="29" t="s">
        <v>247</v>
      </c>
      <c r="H30" s="22"/>
      <c r="I30" s="22"/>
      <c r="J30" s="25"/>
      <c r="K30" s="193"/>
      <c r="L30" s="128"/>
      <c r="M30" s="128"/>
      <c r="N30" s="128"/>
      <c r="O30" s="128"/>
      <c r="P30" s="128"/>
    </row>
    <row r="31" spans="1:16" ht="18.75">
      <c r="A31" s="26"/>
      <c r="B31" s="22"/>
      <c r="C31" s="20"/>
      <c r="D31" s="22"/>
      <c r="E31" s="20" t="s">
        <v>39</v>
      </c>
      <c r="F31" s="107" t="str">
        <f>IF(M26="Not Solved"," Not Solved ",CONCATENATE("",ROUND(Calculations!C24,2)," ft."))</f>
        <v>0.35 ft.</v>
      </c>
      <c r="G31" s="29" t="s">
        <v>301</v>
      </c>
      <c r="H31" s="22"/>
      <c r="I31" s="22"/>
      <c r="J31" s="25"/>
      <c r="K31" s="193"/>
      <c r="L31" s="128"/>
      <c r="M31" s="128"/>
      <c r="N31" s="128"/>
      <c r="O31" s="128"/>
      <c r="P31" s="128"/>
    </row>
    <row r="32" spans="1:16" ht="18.75">
      <c r="A32" s="26"/>
      <c r="B32" s="20" t="s">
        <v>35</v>
      </c>
      <c r="C32" s="107" t="str">
        <f>IF(M26="Not Solved"," Not Solved ",CONCATENATE("",ROUND(Calculations!H38,2)," ft."))</f>
        <v>0.05 ft.</v>
      </c>
      <c r="D32" s="22"/>
      <c r="E32" s="30"/>
      <c r="F32" s="110" t="str">
        <f>IF(M26="Not Solved","     ---- ",CONCATENATE("(",ROUND(Calculations!F24,2)," ft.)"))</f>
        <v>(0.22 ft.)</v>
      </c>
      <c r="G32" s="29" t="s">
        <v>300</v>
      </c>
      <c r="H32" s="22"/>
      <c r="I32" s="22"/>
      <c r="J32" s="25"/>
      <c r="K32" s="193"/>
      <c r="L32" s="128"/>
      <c r="M32" s="128"/>
      <c r="N32" s="128"/>
      <c r="O32" s="128"/>
      <c r="P32" s="128"/>
    </row>
    <row r="33" spans="1:16" ht="18.75">
      <c r="A33" s="26"/>
      <c r="B33" s="22"/>
      <c r="C33" s="110" t="str">
        <f>IF(M26="Not Solved","     ----",CONCATENATE("(",ROUND(Calculations!H45,2)," ft.)"))</f>
        <v>(0.05 ft.)</v>
      </c>
      <c r="D33" s="106" t="str">
        <f>IF(M26="Not Solved"," Not Solved ",CONCATENATE("",ROUND(Calculations!C18,2)," ft."))</f>
        <v>0.49 ft.</v>
      </c>
      <c r="E33" s="22"/>
      <c r="F33" s="33" t="s">
        <v>45</v>
      </c>
      <c r="G33" s="32" t="str">
        <f>IF(M26="Not Solved"," Not Solved ",CONCATENATE("",ROUND(Calculations!C57,2)," ft."))</f>
        <v>0.29 ft.</v>
      </c>
      <c r="H33" s="33"/>
      <c r="I33" s="22"/>
      <c r="J33" s="25"/>
      <c r="K33" s="193"/>
      <c r="L33" s="128"/>
      <c r="M33" s="128"/>
      <c r="N33" s="128"/>
      <c r="O33" s="128"/>
      <c r="P33" s="128"/>
    </row>
    <row r="34" spans="1:16" ht="18.75">
      <c r="A34" s="26"/>
      <c r="B34" s="520" t="str">
        <f>CONCATENATE("   Slope = ",ROUND(Si,4)," ft./ft.")</f>
        <v>   Slope = 0.02 ft./ft.</v>
      </c>
      <c r="C34" s="520"/>
      <c r="D34" s="110" t="str">
        <f>IF(M26="Not Solved","      ---- ",CONCATENATE(" (",ROUND(Calculations!F18,2)," ft.)"))</f>
        <v> (0.31 ft.)</v>
      </c>
      <c r="E34" s="33"/>
      <c r="F34" s="34"/>
      <c r="G34" s="35" t="str">
        <f>IF(M26="Not Solved","      ---- ",CONCATENATE("(",ROUND(Calculations!F57,2)," ft.)"))</f>
        <v>(0.19 ft.)</v>
      </c>
      <c r="H34" s="20" t="s">
        <v>273</v>
      </c>
      <c r="I34" s="107" t="str">
        <f>IF(M26="Not Solved"," Not Solved ",CONCATENATE(" ",ROUND(Calculations!C67,2)," ft. (",ROUND(Calculations!F67,2)," ft.)"))</f>
        <v> 0.77 ft. (0.48 ft.)</v>
      </c>
      <c r="J34" s="25"/>
      <c r="K34" s="196"/>
      <c r="L34" s="128"/>
      <c r="M34" s="128"/>
      <c r="N34" s="128"/>
      <c r="O34" s="128"/>
      <c r="P34" s="128"/>
    </row>
    <row r="35" spans="1:16" ht="15">
      <c r="A35" s="26"/>
      <c r="B35" s="520"/>
      <c r="C35" s="520"/>
      <c r="D35" s="36" t="s">
        <v>32</v>
      </c>
      <c r="E35" s="34"/>
      <c r="F35" s="34"/>
      <c r="G35" s="29"/>
      <c r="H35" s="22"/>
      <c r="I35" s="31"/>
      <c r="J35" s="25"/>
      <c r="K35" s="193"/>
      <c r="L35" s="128"/>
      <c r="M35" s="128"/>
      <c r="N35" s="128"/>
      <c r="O35" s="128"/>
      <c r="P35" s="128"/>
    </row>
    <row r="36" spans="1:16" ht="18.75" customHeight="1">
      <c r="A36" s="59" t="s">
        <v>34</v>
      </c>
      <c r="B36" s="106" t="str">
        <f>IF(M26="Not Solved"," Not Solved ",CONCATENATE("",ROUND(Calculations!C11,2)," ft."))</f>
        <v>1.22 ft.</v>
      </c>
      <c r="C36" s="22"/>
      <c r="D36" s="106" t="str">
        <f>IF($M$26="Not Solved","      ---- ",CONCATENATE("     ",ROUND(Calculations!$C$23,0)," ft."))</f>
        <v>     5 ft.</v>
      </c>
      <c r="E36" s="34"/>
      <c r="F36" s="34"/>
      <c r="G36" s="37"/>
      <c r="H36" s="20" t="s">
        <v>99</v>
      </c>
      <c r="I36" s="136" t="str">
        <f>IF($M$26="Not Solved"," Not Solved ",CONCATENATE("",ROUND(IF($H$22="Program",Calculations!$C$29,$H$22)+$F$15,2)," ft. ",IF(IF($H$22="Program",Calculations!$C$29,$H$22)+$F$15&gt;=Calculations!$C$67,"- Tw o.k.","- Tw not o.k.")))</f>
        <v>2.13 ft. - Tw o.k.</v>
      </c>
      <c r="J36" s="25"/>
      <c r="K36" s="193"/>
      <c r="L36" s="128"/>
      <c r="M36" s="128"/>
      <c r="N36" s="128"/>
      <c r="O36" s="128"/>
      <c r="P36" s="128"/>
    </row>
    <row r="37" spans="1:16" ht="19.5" customHeight="1">
      <c r="A37" s="56"/>
      <c r="B37" s="107" t="str">
        <f>IF(M26="Not Solved","     ----",CONCATENATE("(",ROUND(Calculations!F11,2)," ft.)"))</f>
        <v>(0.82 ft.)</v>
      </c>
      <c r="C37" s="57"/>
      <c r="D37" s="118"/>
      <c r="E37" s="491" t="str">
        <f>CONCATENATE("n = ",ROUND(Calculations!C56,3)," (",ROUND(Calculations!F56,3),") ")</f>
        <v>n = 0.049 (0.046) </v>
      </c>
      <c r="F37" s="491"/>
      <c r="G37" s="112" t="str">
        <f>IF(M26="Not Solved"," ----- ",CONCATENATE(" ",ROUND(C18-D18-d,1)," ft."))</f>
        <v> 8 ft.</v>
      </c>
      <c r="H37" s="21"/>
      <c r="I37" s="107" t="str">
        <f>IF(M26="Not Solved","      ---- ",CONCATENATE("(",ROUND(IF(H23="Program",Calculations!F29,H23)+F15,2)," ft.) ",IF(IF($H$23="Program",Calculations!$F$29,$H$23)+$F$15&gt;=Calculations!$F$67,"- Tw o.k.","-Tw not o.k.")))</f>
        <v>(1.76 ft.) - Tw o.k.</v>
      </c>
      <c r="J37" s="25"/>
      <c r="K37" s="193"/>
      <c r="L37" s="128"/>
      <c r="M37" s="128"/>
      <c r="N37" s="128"/>
      <c r="O37" s="128"/>
      <c r="P37" s="128"/>
    </row>
    <row r="38" spans="1:16" ht="15">
      <c r="A38" s="362"/>
      <c r="B38" s="34"/>
      <c r="C38" s="34"/>
      <c r="D38" s="126" t="str">
        <f>IF($M$26="Not Solved","----",CONCATENATE("      ",ROUND(40*Calculations!$C$55/25.4/12,0)," ft."))</f>
        <v>      17 ft.</v>
      </c>
      <c r="E38" s="491"/>
      <c r="F38" s="491"/>
      <c r="G38" s="38"/>
      <c r="H38" s="22"/>
      <c r="I38" s="22"/>
      <c r="J38" s="25"/>
      <c r="K38" s="193"/>
      <c r="L38" s="128"/>
      <c r="M38" s="128"/>
      <c r="N38" s="128"/>
      <c r="O38" s="128"/>
      <c r="P38" s="128"/>
    </row>
    <row r="39" spans="1:16" ht="15">
      <c r="A39" s="39"/>
      <c r="B39" s="29"/>
      <c r="C39" s="108" t="str">
        <f>IF(M26="Not Solved"," Not Solved ",CONCATENATE("",ROUND(Calculations!C13/Calculations!C12,2)," fps"))</f>
        <v>2.71 fps</v>
      </c>
      <c r="D39" s="125" t="str">
        <f>IF($M$26="Not Solved","----","radius")</f>
        <v>radius</v>
      </c>
      <c r="E39" s="491"/>
      <c r="F39" s="491"/>
      <c r="G39" s="38"/>
      <c r="H39" s="116" t="str">
        <f>IF(M26="Not Solved"," Not Solved ",CONCATENATE("    ",ROUND(IF(H22="Program",Calculations!C29,H22),2)," ft. (",ROUND(IF(H23="Program",Calculations!F29,H23),2)," ft.)"))</f>
        <v>    1.13 ft. (0.76 ft.)</v>
      </c>
      <c r="I39" s="22"/>
      <c r="J39" s="25"/>
      <c r="K39" s="193"/>
      <c r="L39" s="128"/>
      <c r="M39" s="128"/>
      <c r="N39" s="128"/>
      <c r="O39" s="128"/>
      <c r="P39" s="128"/>
    </row>
    <row r="40" spans="1:16" ht="15">
      <c r="A40" s="39"/>
      <c r="B40" s="21"/>
      <c r="C40" s="109" t="str">
        <f>IF(M26="Not Solved","     ---- ","at normal depth")</f>
        <v>at normal depth</v>
      </c>
      <c r="D40" s="22"/>
      <c r="E40" s="491"/>
      <c r="F40" s="491"/>
      <c r="G40" s="38"/>
      <c r="H40" s="22"/>
      <c r="I40" s="22"/>
      <c r="J40" s="25"/>
      <c r="K40" s="193"/>
      <c r="L40" s="128"/>
      <c r="M40" s="128"/>
      <c r="N40" s="128"/>
      <c r="O40" s="128"/>
      <c r="P40" s="128"/>
    </row>
    <row r="41" spans="1:16" ht="15">
      <c r="A41" s="497" t="s">
        <v>341</v>
      </c>
      <c r="B41" s="498"/>
      <c r="C41" s="499"/>
      <c r="D41" s="361" t="str">
        <f>IF(M26="Not Solved"," Not Solved ",Sccheck)</f>
        <v>OK</v>
      </c>
      <c r="E41" s="491"/>
      <c r="F41" s="491"/>
      <c r="G41" s="38"/>
      <c r="H41" s="22"/>
      <c r="I41" s="516" t="str">
        <f>CONCATENATE("Slope = ",ROUND(So,4)," ft./ft.")</f>
        <v>Slope = 0.01 ft./ft.</v>
      </c>
      <c r="J41" s="517"/>
      <c r="K41" s="193"/>
      <c r="L41" s="128"/>
      <c r="M41" s="128"/>
      <c r="N41" s="128"/>
      <c r="O41" s="128"/>
      <c r="P41" s="128"/>
    </row>
    <row r="42" spans="1:16" ht="15.75">
      <c r="A42" s="41" t="s">
        <v>101</v>
      </c>
      <c r="B42" s="29"/>
      <c r="C42" s="22"/>
      <c r="D42" s="22"/>
      <c r="E42" s="20"/>
      <c r="F42" s="112" t="str">
        <f>IF(M26="Not Solved","       - ",CONCATENATE("      ",ROUND(1/Sc,1),""))</f>
        <v>      4</v>
      </c>
      <c r="G42" s="36" t="s">
        <v>25</v>
      </c>
      <c r="H42" s="22"/>
      <c r="I42" s="516"/>
      <c r="J42" s="517"/>
      <c r="K42" s="193"/>
      <c r="L42" s="128"/>
      <c r="M42" s="128"/>
      <c r="N42" s="128"/>
      <c r="O42" s="128"/>
      <c r="P42" s="128"/>
    </row>
    <row r="43" spans="1:16" ht="16.5">
      <c r="A43" s="58" t="s">
        <v>102</v>
      </c>
      <c r="B43" s="40"/>
      <c r="C43" s="22"/>
      <c r="D43" s="22"/>
      <c r="E43" s="27"/>
      <c r="F43" s="22"/>
      <c r="G43" s="113" t="str">
        <f>IF($M$26="Not Solved","    ---- ",CONCATENATE("  ",ROUND(15*Calculations!$C$55*$G$50*0.03937/12,0)," ft."))</f>
        <v>  8 ft.</v>
      </c>
      <c r="H43" s="20" t="s">
        <v>43</v>
      </c>
      <c r="I43" s="179" t="str">
        <f>IF(M26="Not Solved"," Not Solved ",CONCATENATE("",ROUND(F15,1)," ft. {1 ft. minimum"))</f>
        <v>1 ft. {1 ft. minimum</v>
      </c>
      <c r="J43" s="25"/>
      <c r="K43" s="193"/>
      <c r="L43" s="128"/>
      <c r="M43" s="128"/>
      <c r="N43" s="128"/>
      <c r="O43" s="128"/>
      <c r="P43" s="128"/>
    </row>
    <row r="44" spans="1:16" ht="18.75">
      <c r="A44" s="42" t="s">
        <v>64</v>
      </c>
      <c r="B44" s="29"/>
      <c r="C44" s="22"/>
      <c r="D44" s="22"/>
      <c r="E44" s="22"/>
      <c r="F44" s="29"/>
      <c r="G44" s="123" t="s">
        <v>97</v>
      </c>
      <c r="H44" s="21"/>
      <c r="I44" s="180"/>
      <c r="J44" s="25"/>
      <c r="K44" s="193"/>
      <c r="L44" s="128"/>
      <c r="M44" s="128"/>
      <c r="N44" s="128"/>
      <c r="O44" s="128"/>
      <c r="P44" s="128"/>
    </row>
    <row r="45" spans="1:16" ht="15">
      <c r="A45" s="42" t="s">
        <v>65</v>
      </c>
      <c r="B45" s="29"/>
      <c r="C45" s="22"/>
      <c r="D45" s="22"/>
      <c r="E45" s="20"/>
      <c r="F45" s="114"/>
      <c r="G45" s="114"/>
      <c r="H45" s="21"/>
      <c r="I45" s="114" t="str">
        <f>IF($M$26="Not Solved"," Not Solved ",CONCATENATE("",ROUND(Calculations!$C$31/IF($H$22="Program",Calculations!$C$30,$L$22),2)," fps"))</f>
        <v>3.58 fps</v>
      </c>
      <c r="J45" s="25"/>
      <c r="K45" s="193"/>
      <c r="L45" s="128"/>
      <c r="M45" s="128"/>
      <c r="N45" s="128"/>
      <c r="O45" s="128"/>
      <c r="P45" s="128"/>
    </row>
    <row r="46" spans="1:16" ht="18.75" customHeight="1">
      <c r="A46" s="42"/>
      <c r="B46" s="29"/>
      <c r="C46" s="22"/>
      <c r="D46" s="22"/>
      <c r="E46" s="22"/>
      <c r="F46" s="114"/>
      <c r="G46" s="43"/>
      <c r="H46" s="21"/>
      <c r="I46" s="115" t="str">
        <f>IF(M26="Not Solved","     ---- ","at normal depth")</f>
        <v>at normal depth</v>
      </c>
      <c r="J46" s="25"/>
      <c r="K46" s="193"/>
      <c r="L46" s="128"/>
      <c r="M46" s="128"/>
      <c r="N46" s="128"/>
      <c r="O46" s="128"/>
      <c r="P46" s="128"/>
    </row>
    <row r="47" spans="1:16" ht="10.5" customHeight="1">
      <c r="A47" s="486" t="s">
        <v>26</v>
      </c>
      <c r="B47" s="487"/>
      <c r="C47" s="487"/>
      <c r="D47" s="487"/>
      <c r="E47" s="487"/>
      <c r="F47" s="487"/>
      <c r="G47" s="487"/>
      <c r="H47" s="487"/>
      <c r="I47" s="487"/>
      <c r="J47" s="488"/>
      <c r="K47" s="193"/>
      <c r="L47" s="128"/>
      <c r="M47" s="128"/>
      <c r="N47" s="128"/>
      <c r="O47" s="128"/>
      <c r="P47" s="128"/>
    </row>
    <row r="48" spans="1:16" ht="10.5" customHeight="1">
      <c r="A48" s="489"/>
      <c r="B48" s="490"/>
      <c r="C48" s="490"/>
      <c r="D48" s="490"/>
      <c r="E48" s="490"/>
      <c r="F48" s="490"/>
      <c r="G48" s="490"/>
      <c r="H48" s="490"/>
      <c r="I48" s="490"/>
      <c r="J48" s="488"/>
      <c r="K48" s="193"/>
      <c r="L48" s="128"/>
      <c r="M48" s="128"/>
      <c r="N48" s="128"/>
      <c r="O48" s="128"/>
      <c r="P48" s="128"/>
    </row>
    <row r="49" spans="1:16" ht="25.5" customHeight="1">
      <c r="A49" s="26"/>
      <c r="B49" s="354" t="s">
        <v>27</v>
      </c>
      <c r="C49" s="22"/>
      <c r="D49" s="22"/>
      <c r="E49" s="22"/>
      <c r="F49" s="22"/>
      <c r="G49" s="45" t="str">
        <f>IF(M26="Not Solved"," Not Solved ",CONCATENATE("",ROUND(Calculations!C54/0.3048^2,2)," cfs/ft."))</f>
        <v>1.96 cfs/ft.</v>
      </c>
      <c r="H49" s="54" t="s">
        <v>54</v>
      </c>
      <c r="I49" s="22"/>
      <c r="J49" s="25"/>
      <c r="K49" s="193"/>
      <c r="L49" s="128"/>
      <c r="M49" s="128"/>
      <c r="N49" s="128"/>
      <c r="O49" s="128"/>
      <c r="P49" s="128"/>
    </row>
    <row r="50" spans="1:16" ht="19.5">
      <c r="A50" s="26"/>
      <c r="B50" s="22"/>
      <c r="C50" s="20" t="s">
        <v>46</v>
      </c>
      <c r="D50" s="112" t="str">
        <f>IF(M26="Not Solved"," Not Solved ",CONCATENATE("",F14," ft."))</f>
        <v>0.5 ft.</v>
      </c>
      <c r="E50" s="22"/>
      <c r="F50" s="44" t="s">
        <v>51</v>
      </c>
      <c r="G50" s="124">
        <f>IF(M26="Not Solved"," ---- ",ROUND(F11,2))</f>
        <v>1.2</v>
      </c>
      <c r="H50" s="134" t="s">
        <v>244</v>
      </c>
      <c r="I50" s="21"/>
      <c r="J50" s="25"/>
      <c r="K50" s="193"/>
      <c r="L50" s="128"/>
      <c r="M50" s="292"/>
      <c r="N50" s="293"/>
      <c r="O50" s="128"/>
      <c r="P50" s="128"/>
    </row>
    <row r="51" spans="1:16" ht="19.5">
      <c r="A51" s="26"/>
      <c r="B51" s="22"/>
      <c r="C51" s="22"/>
      <c r="D51" s="22"/>
      <c r="E51" s="22"/>
      <c r="F51" s="44" t="s">
        <v>52</v>
      </c>
      <c r="G51" s="46" t="str">
        <f>IF(M26="Not Solved"," ---- ",CONCATENATE("",ROUND(Calculations!C57,2)," ft."))</f>
        <v>0.29 ft.</v>
      </c>
      <c r="H51" s="54" t="s">
        <v>55</v>
      </c>
      <c r="I51" s="21"/>
      <c r="J51" s="25"/>
      <c r="K51" s="193"/>
      <c r="L51" s="128"/>
      <c r="M51" s="292"/>
      <c r="N51" s="293"/>
      <c r="O51" s="128"/>
      <c r="P51" s="128"/>
    </row>
    <row r="52" spans="1:16" ht="15">
      <c r="A52" s="26"/>
      <c r="B52" s="22"/>
      <c r="C52" s="22"/>
      <c r="D52" s="22"/>
      <c r="E52" s="29"/>
      <c r="F52" s="44" t="s">
        <v>28</v>
      </c>
      <c r="G52" s="46" t="str">
        <f>IF(M26="Not Solved"," ---- ",CONCATENATE("",ROUND(Calculations!C56,3),""))</f>
        <v>0.049</v>
      </c>
      <c r="H52" s="54" t="s">
        <v>59</v>
      </c>
      <c r="I52" s="21"/>
      <c r="J52" s="25"/>
      <c r="K52" s="193"/>
      <c r="L52" s="128"/>
      <c r="M52" s="292"/>
      <c r="N52" s="293"/>
      <c r="O52" s="128"/>
      <c r="P52" s="128"/>
    </row>
    <row r="53" spans="1:16" ht="19.5">
      <c r="A53" s="26"/>
      <c r="B53" s="22"/>
      <c r="C53" s="484" t="s">
        <v>100</v>
      </c>
      <c r="D53" s="22"/>
      <c r="E53" s="29"/>
      <c r="F53" s="44" t="s">
        <v>53</v>
      </c>
      <c r="G53" s="49" t="str">
        <f>IF($M$26="Not Solved"," ---- ",CONCATENATE("",ROUND(Calculations!$C$55*0.03937*$G$50,1)," in."," "))</f>
        <v>6.2 in. </v>
      </c>
      <c r="H53" s="54" t="s">
        <v>317</v>
      </c>
      <c r="I53" s="29"/>
      <c r="J53" s="328"/>
      <c r="K53" s="193"/>
      <c r="L53" s="128"/>
      <c r="M53" s="292"/>
      <c r="N53" s="293"/>
      <c r="O53" s="128"/>
      <c r="P53" s="128"/>
    </row>
    <row r="54" spans="1:16" ht="19.5">
      <c r="A54" s="26"/>
      <c r="B54" s="48">
        <v>1</v>
      </c>
      <c r="C54" s="485"/>
      <c r="D54" s="22"/>
      <c r="E54" s="29"/>
      <c r="F54" s="44" t="s">
        <v>58</v>
      </c>
      <c r="G54" s="49" t="str">
        <f>IF($M$26="Not Solved"," ---- ",CONCATENATE("",ROUND(2*Calculations!$C$55*0.03937*$G$50,1)," in."))</f>
        <v>12.4 in.</v>
      </c>
      <c r="H54" s="54" t="s">
        <v>132</v>
      </c>
      <c r="I54" s="21"/>
      <c r="J54" s="25"/>
      <c r="K54" s="193"/>
      <c r="L54" s="128"/>
      <c r="M54" s="292"/>
      <c r="N54" s="293"/>
      <c r="O54" s="128"/>
      <c r="P54" s="128"/>
    </row>
    <row r="55" spans="1:16" ht="15">
      <c r="A55" s="26"/>
      <c r="B55" s="117" t="str">
        <f>IF(M26="Not Solved"," ----   ",CONCATENATE("m = ",F12,"    "))</f>
        <v>m = 2    </v>
      </c>
      <c r="C55" s="22"/>
      <c r="D55" s="20"/>
      <c r="E55" s="30"/>
      <c r="F55" s="50" t="s">
        <v>63</v>
      </c>
      <c r="G55" s="53" t="str">
        <f>IF(M$26="Not Solved"," ---- ",CONCATENATE("",ROUND(IF(H$22="Program",Calculations!C$29,H$22)+F$15,2)," ft."))</f>
        <v>2.13 ft.</v>
      </c>
      <c r="H55" s="54" t="s">
        <v>103</v>
      </c>
      <c r="I55" s="21"/>
      <c r="J55" s="25"/>
      <c r="K55" s="193"/>
      <c r="L55" s="128"/>
      <c r="M55" s="128"/>
      <c r="N55" s="128"/>
      <c r="O55" s="128"/>
      <c r="P55" s="128"/>
    </row>
    <row r="56" spans="1:16" ht="19.5">
      <c r="A56" s="26"/>
      <c r="B56" s="22"/>
      <c r="C56" s="47" t="str">
        <f>IF(M26="Not Solved"," ---- ",CONCATENATE("",F10," ft."))</f>
        <v>50 ft.</v>
      </c>
      <c r="D56" s="20"/>
      <c r="E56" s="155" t="str">
        <f>IF(M26="Not Solved"," Not Solved ",G54)</f>
        <v>12.4 in.</v>
      </c>
      <c r="F56" s="50" t="s">
        <v>62</v>
      </c>
      <c r="G56" s="51" t="str">
        <f>IF(M26="Not Solved"," ---- ",CONCATENATE("",ROUND(Calculations!C67,2)," ft. "))</f>
        <v>0.77 ft. </v>
      </c>
      <c r="H56" s="52" t="s">
        <v>274</v>
      </c>
      <c r="I56" s="21"/>
      <c r="J56" s="25"/>
      <c r="K56" s="193"/>
      <c r="L56" s="128"/>
      <c r="M56" s="128"/>
      <c r="N56" s="128"/>
      <c r="O56" s="128"/>
      <c r="P56" s="128"/>
    </row>
    <row r="57" spans="1:16" ht="15">
      <c r="A57" s="26"/>
      <c r="B57" s="22"/>
      <c r="C57" s="21"/>
      <c r="D57" s="22"/>
      <c r="E57" s="22"/>
      <c r="F57" s="283" t="s">
        <v>9</v>
      </c>
      <c r="G57" s="282" t="str">
        <f>IF($M$26="Not Solved","----",IF(AND(IF($H$22="Program",Calculations!$C$29,$H$22)+$F$15&gt;=Calculations!$C$67,IF($H$23="Program",Calculations!$F$29,$H$23)+$F$15&gt;=Calculations!$F$67),"will","will not"))</f>
        <v>will</v>
      </c>
      <c r="H57" s="284" t="s">
        <v>249</v>
      </c>
      <c r="I57" s="180"/>
      <c r="J57" s="25"/>
      <c r="K57" s="193"/>
      <c r="L57" s="128"/>
      <c r="M57" s="128"/>
      <c r="N57" s="128"/>
      <c r="O57" s="128"/>
      <c r="P57" s="128"/>
    </row>
    <row r="58" spans="1:16" ht="12" customHeight="1">
      <c r="A58" s="26"/>
      <c r="B58" s="21"/>
      <c r="C58" s="47" t="str">
        <f>"B' "</f>
        <v>B' </v>
      </c>
      <c r="D58" s="22"/>
      <c r="E58" s="22"/>
      <c r="F58" s="21"/>
      <c r="G58" s="21"/>
      <c r="H58" s="29"/>
      <c r="I58" s="107"/>
      <c r="J58" s="25"/>
      <c r="K58" s="193"/>
      <c r="L58" s="128"/>
      <c r="M58" s="128"/>
      <c r="N58" s="128"/>
      <c r="O58" s="128"/>
      <c r="P58" s="128"/>
    </row>
    <row r="59" spans="1:16" ht="18.75" thickBot="1">
      <c r="A59" s="346"/>
      <c r="B59" s="347"/>
      <c r="C59" s="347"/>
      <c r="D59" s="347"/>
      <c r="E59" s="347"/>
      <c r="F59" s="482" t="s">
        <v>263</v>
      </c>
      <c r="G59" s="483"/>
      <c r="H59" s="483"/>
      <c r="I59" s="483"/>
      <c r="J59" s="55"/>
      <c r="K59" s="193"/>
      <c r="L59" s="128"/>
      <c r="M59" s="128"/>
      <c r="N59" s="128"/>
      <c r="O59" s="128"/>
      <c r="P59" s="128"/>
    </row>
    <row r="60" spans="1:16" ht="15" customHeight="1" thickTop="1">
      <c r="A60" s="197"/>
      <c r="B60" s="197"/>
      <c r="C60" s="197"/>
      <c r="D60" s="197"/>
      <c r="E60" s="197"/>
      <c r="F60" s="197"/>
      <c r="G60" s="197"/>
      <c r="H60" s="197"/>
      <c r="I60" s="197"/>
      <c r="J60" s="197"/>
      <c r="K60" s="193"/>
      <c r="L60" s="128"/>
      <c r="M60" s="128"/>
      <c r="N60" s="128"/>
      <c r="O60" s="128"/>
      <c r="P60" s="128"/>
    </row>
    <row r="61" spans="1:16" ht="12" customHeight="1" hidden="1">
      <c r="A61" s="197"/>
      <c r="B61" s="197"/>
      <c r="C61" s="197"/>
      <c r="D61" s="197"/>
      <c r="E61" s="197"/>
      <c r="F61" s="197"/>
      <c r="G61" s="197"/>
      <c r="H61" s="197"/>
      <c r="I61" s="197"/>
      <c r="J61" s="197"/>
      <c r="K61" s="193"/>
      <c r="L61" s="128"/>
      <c r="M61" s="128"/>
      <c r="N61" s="128"/>
      <c r="O61" s="128"/>
      <c r="P61" s="128"/>
    </row>
    <row r="62" spans="11:16" ht="12" customHeight="1" hidden="1">
      <c r="K62" s="128"/>
      <c r="L62" s="128"/>
      <c r="M62" s="128"/>
      <c r="N62" s="128"/>
      <c r="O62" s="128"/>
      <c r="P62" s="128"/>
    </row>
    <row r="63" spans="2:16" ht="18" hidden="1">
      <c r="B63" s="104" t="s">
        <v>91</v>
      </c>
      <c r="K63" s="128"/>
      <c r="L63" s="128"/>
      <c r="M63" s="128"/>
      <c r="N63" s="128"/>
      <c r="O63" s="128"/>
      <c r="P63" s="128"/>
    </row>
    <row r="64" spans="2:16" ht="18" hidden="1">
      <c r="B64" s="104"/>
      <c r="K64" s="128"/>
      <c r="L64" s="128"/>
      <c r="M64" s="128"/>
      <c r="N64" s="128"/>
      <c r="O64" s="128"/>
      <c r="P64" s="128"/>
    </row>
    <row r="65" spans="3:16" ht="18.75" hidden="1">
      <c r="C65" s="100" t="s">
        <v>92</v>
      </c>
      <c r="D65" s="102" t="str">
        <f>CONCATENATE("",C73," ft. @",," 0 ft. from the crest")</f>
        <v>0.35 ft. @ 0 ft. from the crest</v>
      </c>
      <c r="K65" s="128"/>
      <c r="L65" s="128"/>
      <c r="M65" s="128"/>
      <c r="N65" s="128"/>
      <c r="O65" s="128"/>
      <c r="P65" s="128"/>
    </row>
    <row r="66" spans="3:16" ht="18.75" hidden="1">
      <c r="C66" s="100" t="s">
        <v>93</v>
      </c>
      <c r="D66" s="102" t="str">
        <f>CONCATENATE("",ROUND(C83,2)," ft. @ ",ROUND(O83,0)," ft. from the crest")</f>
        <v>0.49 ft. @ 1 ft. from the crest</v>
      </c>
      <c r="K66" s="128"/>
      <c r="L66" s="128"/>
      <c r="M66" s="128"/>
      <c r="N66" s="128"/>
      <c r="O66" s="128"/>
      <c r="P66" s="128"/>
    </row>
    <row r="67" spans="3:16" ht="18.75" hidden="1">
      <c r="C67" s="100" t="s">
        <v>94</v>
      </c>
      <c r="D67" s="102" t="str">
        <f>CONCATENATE("",ROUND(C94,2)," ft. @ ",ROUND(ABS(P94)+ABS(O83),0)," ft. from the crest")</f>
        <v>1.22 ft. @ 40 ft. from the crest</v>
      </c>
      <c r="K67" s="128"/>
      <c r="L67" s="128"/>
      <c r="M67" s="128"/>
      <c r="N67" s="128"/>
      <c r="O67" s="128"/>
      <c r="P67" s="128"/>
    </row>
    <row r="68" spans="3:16" ht="18.75" hidden="1">
      <c r="C68" s="100" t="s">
        <v>95</v>
      </c>
      <c r="D68" s="102" t="str">
        <f>CONCATENATE("",ROUND(C104,2)," ft. @ ",ROUND(ABS(O104)+ABS(P94)+ABS(O83),0)," ft. from the crest")</f>
        <v>0.1 ft. @ 66 ft. from the crest</v>
      </c>
      <c r="K68" s="128"/>
      <c r="L68" s="128"/>
      <c r="M68" s="128"/>
      <c r="N68" s="128"/>
      <c r="O68" s="128"/>
      <c r="P68" s="128"/>
    </row>
    <row r="69" spans="3:16" ht="18.75" hidden="1">
      <c r="C69" s="105"/>
      <c r="D69" s="103" t="s">
        <v>96</v>
      </c>
      <c r="K69" s="128"/>
      <c r="L69" s="128"/>
      <c r="M69" s="128"/>
      <c r="N69" s="128"/>
      <c r="O69" s="128"/>
      <c r="P69" s="128"/>
    </row>
    <row r="70" spans="3:16" ht="14.25" hidden="1">
      <c r="C70" s="95"/>
      <c r="K70" s="128"/>
      <c r="L70" s="128"/>
      <c r="M70" s="128"/>
      <c r="N70" s="128"/>
      <c r="O70" s="128"/>
      <c r="P70" s="128"/>
    </row>
    <row r="71" spans="9:16" ht="15" hidden="1">
      <c r="I71" s="97" t="s">
        <v>80</v>
      </c>
      <c r="K71" s="128"/>
      <c r="L71" s="97" t="s">
        <v>86</v>
      </c>
      <c r="M71" s="128"/>
      <c r="N71" s="97" t="s">
        <v>80</v>
      </c>
      <c r="O71" s="128"/>
      <c r="P71" s="128"/>
    </row>
    <row r="72" spans="3:17" ht="17.25" hidden="1">
      <c r="C72" s="96" t="s">
        <v>76</v>
      </c>
      <c r="D72" s="96" t="s">
        <v>77</v>
      </c>
      <c r="E72" s="96" t="s">
        <v>85</v>
      </c>
      <c r="F72" s="96" t="s">
        <v>78</v>
      </c>
      <c r="G72" s="96" t="s">
        <v>82</v>
      </c>
      <c r="H72" s="96" t="s">
        <v>79</v>
      </c>
      <c r="I72" s="96" t="s">
        <v>79</v>
      </c>
      <c r="J72" s="96"/>
      <c r="K72" s="96" t="s">
        <v>83</v>
      </c>
      <c r="L72" s="96" t="s">
        <v>83</v>
      </c>
      <c r="M72" s="96" t="s">
        <v>84</v>
      </c>
      <c r="N72" s="96" t="s">
        <v>81</v>
      </c>
      <c r="O72" s="96" t="s">
        <v>81</v>
      </c>
      <c r="P72" s="128"/>
      <c r="Q72" s="101"/>
    </row>
    <row r="73" spans="2:16" ht="14.25" hidden="1">
      <c r="B73" s="100" t="s">
        <v>87</v>
      </c>
      <c r="C73" s="98">
        <f>Calculations!C24</f>
        <v>0.35</v>
      </c>
      <c r="D73">
        <f aca="true" t="shared" si="0" ref="D73:D83">Bwc*C73+mc*C73^2</f>
        <v>17.745</v>
      </c>
      <c r="E73">
        <f aca="true" t="shared" si="1" ref="E73:E83">(D73/(Bwc+2*C73*(1+mc^2)^0.5))^(4/3)</f>
        <v>0.2411525517956586</v>
      </c>
      <c r="F73">
        <f>Qhigh/D73</f>
        <v>5.579036348267117</v>
      </c>
      <c r="G73">
        <f aca="true" t="shared" si="2" ref="G73:G104">F73^2/64.4</f>
        <v>0.4833174934050572</v>
      </c>
      <c r="H73">
        <f>C73+G73</f>
        <v>0.8333174934050571</v>
      </c>
      <c r="K73" s="131">
        <f>Calculations!C$56^2*F73^2/2.22/E73</f>
        <v>0.13839690954135006</v>
      </c>
      <c r="L73" s="128"/>
      <c r="M73" s="128"/>
      <c r="N73" s="128"/>
      <c r="O73" s="128"/>
      <c r="P73" s="128"/>
    </row>
    <row r="74" spans="3:16" ht="12" customHeight="1" hidden="1">
      <c r="C74">
        <f>(C$83-C$73)/10+C73</f>
        <v>0.3642357778527697</v>
      </c>
      <c r="D74">
        <f t="shared" si="0"/>
        <v>18.477124296374512</v>
      </c>
      <c r="E74">
        <f t="shared" si="1"/>
        <v>0.25409056793649304</v>
      </c>
      <c r="F74">
        <f>Qhigh/D74</f>
        <v>5.357976620822174</v>
      </c>
      <c r="G74">
        <f t="shared" si="2"/>
        <v>0.4457750538707609</v>
      </c>
      <c r="H74">
        <f>C74+G74</f>
        <v>0.8100108317235306</v>
      </c>
      <c r="I74" s="95">
        <f aca="true" t="shared" si="3" ref="I74:I104">H74-H73</f>
        <v>-0.023306661681526508</v>
      </c>
      <c r="K74" s="131">
        <f>Calculations!C$56^2*F74^2/2.22/E74</f>
        <v>0.12114708167525111</v>
      </c>
      <c r="L74" s="131">
        <f>(K73+K74)/2</f>
        <v>0.12977199560830058</v>
      </c>
      <c r="M74" s="131">
        <f aca="true" t="shared" si="4" ref="M74:M83">0-L74</f>
        <v>-0.12977199560830058</v>
      </c>
      <c r="N74" s="128">
        <f>I74/M74</f>
        <v>0.1795970045176353</v>
      </c>
      <c r="O74" s="128">
        <f aca="true" t="shared" si="5" ref="O74:O83">O73+N74</f>
        <v>0.1795970045176353</v>
      </c>
      <c r="P74" s="128"/>
    </row>
    <row r="75" spans="3:16" ht="14.25" hidden="1">
      <c r="C75">
        <f aca="true" t="shared" si="6" ref="C75:C82">(C$83-C$73)/10+C74</f>
        <v>0.3784715557055395</v>
      </c>
      <c r="D75">
        <f t="shared" si="0"/>
        <v>19.210059222233316</v>
      </c>
      <c r="E75">
        <f t="shared" si="1"/>
        <v>0.26717800473330183</v>
      </c>
      <c r="F75">
        <f aca="true" t="shared" si="7" ref="F75:F96">Qhigh/D75</f>
        <v>5.153549963313986</v>
      </c>
      <c r="G75">
        <f t="shared" si="2"/>
        <v>0.4124080314343724</v>
      </c>
      <c r="H75">
        <f aca="true" t="shared" si="8" ref="H75:H96">C75+G75</f>
        <v>0.7908795871399119</v>
      </c>
      <c r="I75" s="95">
        <f t="shared" si="3"/>
        <v>-0.0191312445836187</v>
      </c>
      <c r="K75" s="131">
        <f>Calculations!C$56^2*F75^2/2.22/E75</f>
        <v>0.1065889420761671</v>
      </c>
      <c r="L75" s="131">
        <f aca="true" t="shared" si="9" ref="L75:L96">(K74+K75)/2</f>
        <v>0.11386801187570911</v>
      </c>
      <c r="M75" s="131">
        <f t="shared" si="4"/>
        <v>-0.11386801187570911</v>
      </c>
      <c r="N75" s="128">
        <f aca="true" t="shared" si="10" ref="N75:N96">I75/M75</f>
        <v>0.16801245818273458</v>
      </c>
      <c r="O75" s="128">
        <f t="shared" si="5"/>
        <v>0.34760946270036985</v>
      </c>
      <c r="P75" s="128"/>
    </row>
    <row r="76" spans="3:16" ht="14.25" hidden="1">
      <c r="C76">
        <f t="shared" si="6"/>
        <v>0.3927073335583092</v>
      </c>
      <c r="D76">
        <f t="shared" si="0"/>
        <v>19.943804777576414</v>
      </c>
      <c r="E76">
        <f t="shared" si="1"/>
        <v>0.28041014490520666</v>
      </c>
      <c r="F76">
        <f t="shared" si="7"/>
        <v>4.963947506711934</v>
      </c>
      <c r="G76">
        <f t="shared" si="2"/>
        <v>0.38262072747502524</v>
      </c>
      <c r="H76">
        <f t="shared" si="8"/>
        <v>0.7753280610333344</v>
      </c>
      <c r="I76" s="95">
        <f t="shared" si="3"/>
        <v>-0.015551526106577507</v>
      </c>
      <c r="K76" s="131">
        <f>Calculations!C$56^2*F76^2/2.22/E76</f>
        <v>0.09422377738183702</v>
      </c>
      <c r="L76" s="131">
        <f t="shared" si="9"/>
        <v>0.10040635972900205</v>
      </c>
      <c r="M76" s="131">
        <f t="shared" si="4"/>
        <v>-0.10040635972900205</v>
      </c>
      <c r="N76" s="128">
        <f t="shared" si="10"/>
        <v>0.15488586727525286</v>
      </c>
      <c r="O76" s="128">
        <f t="shared" si="5"/>
        <v>0.5024953299756227</v>
      </c>
      <c r="P76" s="128"/>
    </row>
    <row r="77" spans="3:16" ht="14.25" hidden="1">
      <c r="C77">
        <f t="shared" si="6"/>
        <v>0.406943111411079</v>
      </c>
      <c r="D77">
        <f t="shared" si="0"/>
        <v>20.678360962403808</v>
      </c>
      <c r="E77">
        <f t="shared" si="1"/>
        <v>0.2937825528998555</v>
      </c>
      <c r="F77">
        <f t="shared" si="7"/>
        <v>4.787613495092577</v>
      </c>
      <c r="G77">
        <f t="shared" si="2"/>
        <v>0.3559199220247292</v>
      </c>
      <c r="H77">
        <f t="shared" si="8"/>
        <v>0.7628630334358082</v>
      </c>
      <c r="I77" s="95">
        <f t="shared" si="3"/>
        <v>-0.012465027597526213</v>
      </c>
      <c r="K77" s="131">
        <f>Calculations!C$56^2*F77^2/2.22/E77</f>
        <v>0.0836588782126763</v>
      </c>
      <c r="L77" s="131">
        <f t="shared" si="9"/>
        <v>0.08894132779725666</v>
      </c>
      <c r="M77" s="131">
        <f t="shared" si="4"/>
        <v>-0.08894132779725666</v>
      </c>
      <c r="N77" s="128">
        <f t="shared" si="10"/>
        <v>0.14014888136076026</v>
      </c>
      <c r="O77" s="128">
        <f t="shared" si="5"/>
        <v>0.642644211336383</v>
      </c>
      <c r="P77" s="128"/>
    </row>
    <row r="78" spans="3:16" ht="14.25" hidden="1">
      <c r="C78">
        <f t="shared" si="6"/>
        <v>0.4211788892638487</v>
      </c>
      <c r="D78">
        <f t="shared" si="0"/>
        <v>21.413727776715493</v>
      </c>
      <c r="E78">
        <f t="shared" si="1"/>
        <v>0.3072910488057595</v>
      </c>
      <c r="F78">
        <f t="shared" si="7"/>
        <v>4.62320250973065</v>
      </c>
      <c r="G78">
        <f t="shared" si="2"/>
        <v>0.3318944323909903</v>
      </c>
      <c r="H78">
        <f t="shared" si="8"/>
        <v>0.7530733216548391</v>
      </c>
      <c r="I78" s="95">
        <f t="shared" si="3"/>
        <v>-0.009789711780969101</v>
      </c>
      <c r="K78" s="131">
        <f>Calculations!C$56^2*F78^2/2.22/E78</f>
        <v>0.07458230425974786</v>
      </c>
      <c r="L78" s="131">
        <f t="shared" si="9"/>
        <v>0.07912059123621208</v>
      </c>
      <c r="M78" s="131">
        <f t="shared" si="4"/>
        <v>-0.07912059123621208</v>
      </c>
      <c r="N78" s="128">
        <f t="shared" si="10"/>
        <v>0.12373152965632195</v>
      </c>
      <c r="O78" s="128">
        <f t="shared" si="5"/>
        <v>0.766375740992705</v>
      </c>
      <c r="P78" s="128"/>
    </row>
    <row r="79" spans="3:16" ht="14.25" hidden="1">
      <c r="C79">
        <f t="shared" si="6"/>
        <v>0.43541466711661847</v>
      </c>
      <c r="D79">
        <f t="shared" si="0"/>
        <v>22.149905220511474</v>
      </c>
      <c r="E79">
        <f t="shared" si="1"/>
        <v>0.3209316854981882</v>
      </c>
      <c r="F79">
        <f t="shared" si="7"/>
        <v>4.469545084478422</v>
      </c>
      <c r="G79">
        <f t="shared" si="2"/>
        <v>0.31019927425753446</v>
      </c>
      <c r="H79">
        <f t="shared" si="8"/>
        <v>0.7456139413741529</v>
      </c>
      <c r="I79" s="95">
        <f t="shared" si="3"/>
        <v>-0.0074593802806861564</v>
      </c>
      <c r="K79" s="131">
        <f>Calculations!C$56^2*F79^2/2.22/E79</f>
        <v>0.06674425964463301</v>
      </c>
      <c r="L79" s="131">
        <f t="shared" si="9"/>
        <v>0.07066328195219043</v>
      </c>
      <c r="M79" s="131">
        <f t="shared" si="4"/>
        <v>-0.07066328195219043</v>
      </c>
      <c r="N79" s="128">
        <f t="shared" si="10"/>
        <v>0.10556232423131784</v>
      </c>
      <c r="O79" s="128">
        <f t="shared" si="5"/>
        <v>0.8719380652240228</v>
      </c>
      <c r="P79" s="128"/>
    </row>
    <row r="80" spans="3:16" ht="14.25" hidden="1">
      <c r="C80">
        <f t="shared" si="6"/>
        <v>0.4496504449693882</v>
      </c>
      <c r="D80">
        <f t="shared" si="0"/>
        <v>22.88689329379175</v>
      </c>
      <c r="E80">
        <f t="shared" si="1"/>
        <v>0.33470072852370747</v>
      </c>
      <c r="F80">
        <f t="shared" si="7"/>
        <v>4.325619852776372</v>
      </c>
      <c r="G80">
        <f t="shared" si="2"/>
        <v>0.2905432781169733</v>
      </c>
      <c r="H80">
        <f t="shared" si="8"/>
        <v>0.7401937230863616</v>
      </c>
      <c r="I80" s="95">
        <f t="shared" si="3"/>
        <v>-0.0054202182877913785</v>
      </c>
      <c r="K80" s="131">
        <f>Calculations!C$56^2*F80^2/2.22/E80</f>
        <v>0.05994319871128921</v>
      </c>
      <c r="L80" s="131">
        <f t="shared" si="9"/>
        <v>0.0633437291779611</v>
      </c>
      <c r="M80" s="131">
        <f t="shared" si="4"/>
        <v>-0.0633437291779611</v>
      </c>
      <c r="N80" s="128">
        <f t="shared" si="10"/>
        <v>0.0855683484084674</v>
      </c>
      <c r="O80" s="128">
        <f t="shared" si="5"/>
        <v>0.9575064136324902</v>
      </c>
      <c r="P80" s="128"/>
    </row>
    <row r="81" spans="3:16" ht="14.25" hidden="1">
      <c r="C81">
        <f t="shared" si="6"/>
        <v>0.46388622282215797</v>
      </c>
      <c r="D81">
        <f t="shared" si="0"/>
        <v>23.62469199655632</v>
      </c>
      <c r="E81">
        <f t="shared" si="1"/>
        <v>0.3485946383176368</v>
      </c>
      <c r="F81">
        <f t="shared" si="7"/>
        <v>4.190530823192567</v>
      </c>
      <c r="G81">
        <f t="shared" si="2"/>
        <v>0.2726793257783692</v>
      </c>
      <c r="H81">
        <f t="shared" si="8"/>
        <v>0.7365655486005271</v>
      </c>
      <c r="I81" s="95">
        <f t="shared" si="3"/>
        <v>-0.0036281744858344123</v>
      </c>
      <c r="K81" s="131">
        <f>Calculations!C$56^2*F81^2/2.22/E81</f>
        <v>0.05401535666862262</v>
      </c>
      <c r="L81" s="131">
        <f t="shared" si="9"/>
        <v>0.05697927768995592</v>
      </c>
      <c r="M81" s="131">
        <f t="shared" si="4"/>
        <v>-0.05697927768995592</v>
      </c>
      <c r="N81" s="128">
        <f t="shared" si="10"/>
        <v>0.06367533308471497</v>
      </c>
      <c r="O81" s="128">
        <f t="shared" si="5"/>
        <v>1.0211817467172053</v>
      </c>
      <c r="P81" s="128"/>
    </row>
    <row r="82" spans="3:16" ht="14.25" hidden="1">
      <c r="C82">
        <f t="shared" si="6"/>
        <v>0.4781220006749277</v>
      </c>
      <c r="D82">
        <f t="shared" si="0"/>
        <v>24.36330132880518</v>
      </c>
      <c r="E82">
        <f t="shared" si="1"/>
        <v>0.3626100544195433</v>
      </c>
      <c r="F82">
        <f t="shared" si="7"/>
        <v>4.06348871460004</v>
      </c>
      <c r="G82">
        <f t="shared" si="2"/>
        <v>0.2563965921379175</v>
      </c>
      <c r="H82">
        <f t="shared" si="8"/>
        <v>0.7345185928128453</v>
      </c>
      <c r="I82" s="95">
        <f t="shared" si="3"/>
        <v>-0.002046955787681881</v>
      </c>
      <c r="K82" s="131">
        <f>Calculations!C$56^2*F82^2/2.22/E82</f>
        <v>0.04882678691579391</v>
      </c>
      <c r="L82" s="131">
        <f t="shared" si="9"/>
        <v>0.05142107179220827</v>
      </c>
      <c r="M82" s="131">
        <f t="shared" si="4"/>
        <v>-0.05142107179220827</v>
      </c>
      <c r="N82" s="128">
        <f t="shared" si="10"/>
        <v>0.03980772310529809</v>
      </c>
      <c r="O82" s="128">
        <f t="shared" si="5"/>
        <v>1.0609894698225033</v>
      </c>
      <c r="P82" s="128"/>
    </row>
    <row r="83" spans="1:16" ht="15.75" hidden="1">
      <c r="A83" s="1"/>
      <c r="B83" s="100" t="s">
        <v>88</v>
      </c>
      <c r="C83" s="98">
        <f>yc</f>
        <v>0.4923577785276976</v>
      </c>
      <c r="D83">
        <f t="shared" si="0"/>
        <v>25.102721290538337</v>
      </c>
      <c r="E83">
        <f t="shared" si="1"/>
        <v>0.3767437814086078</v>
      </c>
      <c r="F83">
        <f t="shared" si="7"/>
        <v>3.9437955293442575</v>
      </c>
      <c r="G83">
        <f t="shared" si="2"/>
        <v>0.2415143350508657</v>
      </c>
      <c r="H83">
        <f t="shared" si="8"/>
        <v>0.7338721135785633</v>
      </c>
      <c r="I83" s="95">
        <f t="shared" si="3"/>
        <v>-0.0006464792342819603</v>
      </c>
      <c r="K83" s="131">
        <f>Calculations!C$56^2*F83^2/2.22/E83</f>
        <v>0.04426725175108613</v>
      </c>
      <c r="L83" s="131">
        <f t="shared" si="9"/>
        <v>0.04654701933344002</v>
      </c>
      <c r="M83" s="131">
        <f t="shared" si="4"/>
        <v>-0.04654701933344002</v>
      </c>
      <c r="N83" s="128">
        <f t="shared" si="10"/>
        <v>0.013888735380688935</v>
      </c>
      <c r="O83" s="97">
        <f t="shared" si="5"/>
        <v>1.0748782052031922</v>
      </c>
      <c r="P83" s="128">
        <v>0</v>
      </c>
    </row>
    <row r="84" spans="1:16" ht="15.75" hidden="1">
      <c r="A84" s="1"/>
      <c r="C84">
        <f>(C$94-C$83)/11+C83</f>
        <v>0.5587998220763735</v>
      </c>
      <c r="D84">
        <f aca="true" t="shared" si="11" ref="D84:D104">Bwi*C84+mi*C84^2</f>
        <v>15.219024516519683</v>
      </c>
      <c r="E84">
        <f aca="true" t="shared" si="12" ref="E84:E96">(D84/(Bwi+2*C84*(1+mi^2)^0.5))^(4/3)</f>
        <v>0.41175355446673534</v>
      </c>
      <c r="F84">
        <f t="shared" si="7"/>
        <v>6.505016132442601</v>
      </c>
      <c r="G84">
        <f t="shared" si="2"/>
        <v>0.6570688646481133</v>
      </c>
      <c r="H84">
        <f t="shared" si="8"/>
        <v>1.2158686867244868</v>
      </c>
      <c r="I84" s="95">
        <f t="shared" si="3"/>
        <v>0.4819965731459235</v>
      </c>
      <c r="K84" s="131">
        <f aca="true" t="shared" si="13" ref="K84:K96">ni^2*F84^2/2.22/E84</f>
        <v>0.29626912750840745</v>
      </c>
      <c r="L84" s="131">
        <f t="shared" si="9"/>
        <v>0.1702681896297468</v>
      </c>
      <c r="M84" s="131">
        <f aca="true" t="shared" si="14" ref="M84:M104">Si-L84</f>
        <v>-0.1502681896297468</v>
      </c>
      <c r="N84" s="128">
        <f t="shared" si="10"/>
        <v>-3.207575564286351</v>
      </c>
      <c r="O84" s="128"/>
      <c r="P84" s="128">
        <f>P83+N84</f>
        <v>-3.207575564286351</v>
      </c>
    </row>
    <row r="85" spans="3:16" ht="14.25" hidden="1">
      <c r="C85">
        <f aca="true" t="shared" si="15" ref="C85:C93">(C$94-C$83)/11+C84</f>
        <v>0.6252418656250494</v>
      </c>
      <c r="D85">
        <f t="shared" si="11"/>
        <v>17.194756202747403</v>
      </c>
      <c r="E85">
        <f t="shared" si="12"/>
        <v>0.4728231752485752</v>
      </c>
      <c r="F85">
        <f t="shared" si="7"/>
        <v>5.757569274764224</v>
      </c>
      <c r="G85">
        <f t="shared" si="2"/>
        <v>0.5147454030079042</v>
      </c>
      <c r="H85">
        <f t="shared" si="8"/>
        <v>1.1399872686329535</v>
      </c>
      <c r="I85" s="95">
        <f t="shared" si="3"/>
        <v>-0.07588141809153326</v>
      </c>
      <c r="K85" s="131">
        <f t="shared" si="13"/>
        <v>0.20211874293651702</v>
      </c>
      <c r="L85" s="131">
        <f t="shared" si="9"/>
        <v>0.24919393522246225</v>
      </c>
      <c r="M85" s="131">
        <f t="shared" si="14"/>
        <v>-0.22919393522246226</v>
      </c>
      <c r="N85" s="128">
        <f t="shared" si="10"/>
        <v>0.33107952013599556</v>
      </c>
      <c r="O85" s="128"/>
      <c r="P85" s="128">
        <f aca="true" t="shared" si="16" ref="P85:P94">P84+N85</f>
        <v>-2.8764960441503553</v>
      </c>
    </row>
    <row r="86" spans="3:16" ht="14.25" hidden="1">
      <c r="C86">
        <f t="shared" si="15"/>
        <v>0.6916839091737252</v>
      </c>
      <c r="D86">
        <f t="shared" si="11"/>
        <v>19.205804250182513</v>
      </c>
      <c r="E86">
        <f t="shared" si="12"/>
        <v>0.534959652200666</v>
      </c>
      <c r="F86">
        <f t="shared" si="7"/>
        <v>5.154691712483698</v>
      </c>
      <c r="G86">
        <f t="shared" si="2"/>
        <v>0.4125907865023</v>
      </c>
      <c r="H86">
        <f t="shared" si="8"/>
        <v>1.1042746956760252</v>
      </c>
      <c r="I86" s="95">
        <f t="shared" si="3"/>
        <v>-0.03571257295692831</v>
      </c>
      <c r="K86" s="131">
        <f t="shared" si="13"/>
        <v>0.14318956332133712</v>
      </c>
      <c r="L86" s="131">
        <f t="shared" si="9"/>
        <v>0.17265415312892707</v>
      </c>
      <c r="M86" s="131">
        <f t="shared" si="14"/>
        <v>-0.15265415312892708</v>
      </c>
      <c r="N86" s="128">
        <f t="shared" si="10"/>
        <v>0.23394432594812245</v>
      </c>
      <c r="O86" s="128"/>
      <c r="P86" s="128">
        <f t="shared" si="16"/>
        <v>-2.642551718202233</v>
      </c>
    </row>
    <row r="87" spans="3:16" ht="14.25" hidden="1">
      <c r="C87">
        <f t="shared" si="15"/>
        <v>0.7581259527224011</v>
      </c>
      <c r="D87">
        <f t="shared" si="11"/>
        <v>21.252168658825024</v>
      </c>
      <c r="E87">
        <f t="shared" si="12"/>
        <v>0.5980076762575587</v>
      </c>
      <c r="F87">
        <f t="shared" si="7"/>
        <v>4.6583481238697</v>
      </c>
      <c r="G87">
        <f t="shared" si="2"/>
        <v>0.3369597398006266</v>
      </c>
      <c r="H87">
        <f t="shared" si="8"/>
        <v>1.0950856925230277</v>
      </c>
      <c r="I87" s="95">
        <f t="shared" si="3"/>
        <v>-0.009189003152997532</v>
      </c>
      <c r="K87" s="131">
        <f t="shared" si="13"/>
        <v>0.10461263040605896</v>
      </c>
      <c r="L87" s="131">
        <f t="shared" si="9"/>
        <v>0.12390109686369805</v>
      </c>
      <c r="M87" s="131">
        <f t="shared" si="14"/>
        <v>-0.10390109686369804</v>
      </c>
      <c r="N87" s="128">
        <f t="shared" si="10"/>
        <v>0.08843990516338884</v>
      </c>
      <c r="O87" s="128"/>
      <c r="P87" s="128">
        <f t="shared" si="16"/>
        <v>-2.554111813038844</v>
      </c>
    </row>
    <row r="88" spans="3:16" ht="14.25" hidden="1">
      <c r="C88">
        <f t="shared" si="15"/>
        <v>0.824567996271077</v>
      </c>
      <c r="D88">
        <f t="shared" si="11"/>
        <v>23.33384942867492</v>
      </c>
      <c r="E88">
        <f t="shared" si="12"/>
        <v>0.661841007754642</v>
      </c>
      <c r="F88">
        <f t="shared" si="7"/>
        <v>4.2427632998410925</v>
      </c>
      <c r="G88">
        <f t="shared" si="2"/>
        <v>0.27951926115649806</v>
      </c>
      <c r="H88">
        <f t="shared" si="8"/>
        <v>1.104087257427575</v>
      </c>
      <c r="I88" s="95">
        <f t="shared" si="3"/>
        <v>0.009001564904547399</v>
      </c>
      <c r="K88" s="95">
        <f t="shared" si="13"/>
        <v>0.07840990613829268</v>
      </c>
      <c r="L88" s="95">
        <f t="shared" si="9"/>
        <v>0.09151126827217582</v>
      </c>
      <c r="M88" s="95">
        <f t="shared" si="14"/>
        <v>-0.07151126827217581</v>
      </c>
      <c r="N88">
        <f t="shared" si="10"/>
        <v>-0.12587617479090077</v>
      </c>
      <c r="P88">
        <f t="shared" si="16"/>
        <v>-2.679987987829745</v>
      </c>
    </row>
    <row r="89" spans="3:16" ht="14.25" hidden="1">
      <c r="C89">
        <f t="shared" si="15"/>
        <v>0.8910100398197529</v>
      </c>
      <c r="D89">
        <f t="shared" si="11"/>
        <v>25.450846559732213</v>
      </c>
      <c r="E89">
        <f t="shared" si="12"/>
        <v>0.7263558705956096</v>
      </c>
      <c r="F89">
        <f t="shared" si="7"/>
        <v>3.88985096301809</v>
      </c>
      <c r="G89">
        <f t="shared" si="2"/>
        <v>0.23495249246106775</v>
      </c>
      <c r="H89">
        <f t="shared" si="8"/>
        <v>1.1259625322808207</v>
      </c>
      <c r="I89" s="95">
        <f t="shared" si="3"/>
        <v>0.021875274853245585</v>
      </c>
      <c r="K89" s="95">
        <f t="shared" si="13"/>
        <v>0.060054211960015466</v>
      </c>
      <c r="L89" s="95">
        <f t="shared" si="9"/>
        <v>0.06923205904915408</v>
      </c>
      <c r="M89" s="95">
        <f t="shared" si="14"/>
        <v>-0.04923205904915408</v>
      </c>
      <c r="N89">
        <f t="shared" si="10"/>
        <v>-0.444329879264342</v>
      </c>
      <c r="P89">
        <f t="shared" si="16"/>
        <v>-3.1243178670940868</v>
      </c>
    </row>
    <row r="90" spans="3:16" ht="14.25" hidden="1">
      <c r="C90">
        <f t="shared" si="15"/>
        <v>0.9574520833684288</v>
      </c>
      <c r="D90">
        <f t="shared" si="11"/>
        <v>27.6031600519969</v>
      </c>
      <c r="E90">
        <f t="shared" si="12"/>
        <v>0.7914661614903591</v>
      </c>
      <c r="F90">
        <f t="shared" si="7"/>
        <v>3.5865458814683078</v>
      </c>
      <c r="G90">
        <f t="shared" si="2"/>
        <v>0.1997408596254236</v>
      </c>
      <c r="H90">
        <f t="shared" si="8"/>
        <v>1.1571929429938523</v>
      </c>
      <c r="I90" s="95">
        <f t="shared" si="3"/>
        <v>0.031230410713031675</v>
      </c>
      <c r="K90" s="95">
        <f t="shared" si="13"/>
        <v>0.04685408162839678</v>
      </c>
      <c r="L90" s="95">
        <f t="shared" si="9"/>
        <v>0.053454146794206125</v>
      </c>
      <c r="M90" s="95">
        <f t="shared" si="14"/>
        <v>-0.03345414679420612</v>
      </c>
      <c r="N90">
        <f t="shared" si="10"/>
        <v>-0.9335288359062389</v>
      </c>
      <c r="P90">
        <f t="shared" si="16"/>
        <v>-4.057846703000326</v>
      </c>
    </row>
    <row r="91" spans="3:16" ht="14.25" hidden="1">
      <c r="C91">
        <f t="shared" si="15"/>
        <v>1.0238941269171047</v>
      </c>
      <c r="D91">
        <f t="shared" si="11"/>
        <v>29.79078990546898</v>
      </c>
      <c r="E91">
        <f t="shared" si="12"/>
        <v>0.8570998881568573</v>
      </c>
      <c r="F91">
        <f t="shared" si="7"/>
        <v>3.32317472326659</v>
      </c>
      <c r="G91">
        <f t="shared" si="2"/>
        <v>0.17148276772294996</v>
      </c>
      <c r="H91">
        <f t="shared" si="8"/>
        <v>1.1953768946400547</v>
      </c>
      <c r="I91" s="95">
        <f t="shared" si="3"/>
        <v>0.03818395164620236</v>
      </c>
      <c r="K91" s="95">
        <f t="shared" si="13"/>
        <v>0.037145132584906586</v>
      </c>
      <c r="L91" s="95">
        <f t="shared" si="9"/>
        <v>0.04199960710665168</v>
      </c>
      <c r="M91" s="95">
        <f t="shared" si="14"/>
        <v>-0.02199960710665168</v>
      </c>
      <c r="N91">
        <f t="shared" si="10"/>
        <v>-1.735665162613621</v>
      </c>
      <c r="P91">
        <f t="shared" si="16"/>
        <v>-5.793511865613947</v>
      </c>
    </row>
    <row r="92" spans="3:16" ht="14.25" hidden="1">
      <c r="C92">
        <f t="shared" si="15"/>
        <v>1.0903361704657806</v>
      </c>
      <c r="D92">
        <f t="shared" si="11"/>
        <v>32.01373612014845</v>
      </c>
      <c r="E92">
        <f t="shared" si="12"/>
        <v>0.9231964659311112</v>
      </c>
      <c r="F92">
        <f t="shared" si="7"/>
        <v>3.092422566002613</v>
      </c>
      <c r="G92">
        <f t="shared" si="2"/>
        <v>0.14849498954537552</v>
      </c>
      <c r="H92">
        <f t="shared" si="8"/>
        <v>1.2388311600111561</v>
      </c>
      <c r="I92" s="95">
        <f t="shared" si="3"/>
        <v>0.04345426537110142</v>
      </c>
      <c r="K92" s="95">
        <f t="shared" si="13"/>
        <v>0.02986280055252074</v>
      </c>
      <c r="L92" s="95">
        <f t="shared" si="9"/>
        <v>0.03350396656871366</v>
      </c>
      <c r="M92" s="95">
        <f t="shared" si="14"/>
        <v>-0.013503966568713662</v>
      </c>
      <c r="N92">
        <f t="shared" si="10"/>
        <v>-3.217888992096395</v>
      </c>
      <c r="P92">
        <f t="shared" si="16"/>
        <v>-9.011400857710342</v>
      </c>
    </row>
    <row r="93" spans="3:16" ht="14.25" hidden="1">
      <c r="C93">
        <f t="shared" si="15"/>
        <v>1.1567782140144565</v>
      </c>
      <c r="D93">
        <f t="shared" si="11"/>
        <v>34.27199869603531</v>
      </c>
      <c r="E93">
        <f t="shared" si="12"/>
        <v>0.9897046298356341</v>
      </c>
      <c r="F93">
        <f t="shared" si="7"/>
        <v>2.8886555720910616</v>
      </c>
      <c r="G93">
        <f t="shared" si="2"/>
        <v>0.1295703573629307</v>
      </c>
      <c r="H93">
        <f t="shared" si="8"/>
        <v>1.2863485713773872</v>
      </c>
      <c r="I93" s="95">
        <f t="shared" si="3"/>
        <v>0.04751741136623111</v>
      </c>
      <c r="K93" s="95">
        <f t="shared" si="13"/>
        <v>0.02430596798750191</v>
      </c>
      <c r="L93" s="95">
        <f t="shared" si="9"/>
        <v>0.027084384270011325</v>
      </c>
      <c r="M93" s="95">
        <f t="shared" si="14"/>
        <v>-0.007084384270011325</v>
      </c>
      <c r="N93">
        <f t="shared" si="10"/>
        <v>-6.707345275915581</v>
      </c>
      <c r="P93">
        <f t="shared" si="16"/>
        <v>-15.718746133625924</v>
      </c>
    </row>
    <row r="94" spans="2:16" ht="15" hidden="1">
      <c r="B94" s="100" t="s">
        <v>89</v>
      </c>
      <c r="C94" s="98">
        <f>Calculations!C11</f>
        <v>1.2232202575631326</v>
      </c>
      <c r="D94">
        <f t="shared" si="11"/>
        <v>36.56557763312958</v>
      </c>
      <c r="E94">
        <f t="shared" si="12"/>
        <v>1.0565807978359483</v>
      </c>
      <c r="F94">
        <f t="shared" si="7"/>
        <v>2.70746440800932</v>
      </c>
      <c r="G94">
        <f t="shared" si="2"/>
        <v>0.11382552050678969</v>
      </c>
      <c r="H94">
        <f t="shared" si="8"/>
        <v>1.3370457780699223</v>
      </c>
      <c r="I94" s="95">
        <f t="shared" si="3"/>
        <v>0.05069720669253508</v>
      </c>
      <c r="K94" s="95">
        <f t="shared" si="13"/>
        <v>0.02000091196266037</v>
      </c>
      <c r="L94" s="95">
        <f t="shared" si="9"/>
        <v>0.02215343997508114</v>
      </c>
      <c r="M94" s="95">
        <f t="shared" si="14"/>
        <v>-0.002153439975081141</v>
      </c>
      <c r="N94">
        <f t="shared" si="10"/>
        <v>-23.542428523286247</v>
      </c>
      <c r="O94">
        <v>0</v>
      </c>
      <c r="P94" s="97">
        <f t="shared" si="16"/>
        <v>-39.261174656912175</v>
      </c>
    </row>
    <row r="95" spans="3:15" ht="14.25" hidden="1">
      <c r="C95">
        <f>(C$104-C$94)/10+C94</f>
        <v>1.1106350440229147</v>
      </c>
      <c r="D95">
        <f t="shared" si="11"/>
        <v>32.69991690462</v>
      </c>
      <c r="E95">
        <f t="shared" si="12"/>
        <v>0.9434740253812863</v>
      </c>
      <c r="F95">
        <f t="shared" si="7"/>
        <v>3.0275306291684436</v>
      </c>
      <c r="G95">
        <f t="shared" si="2"/>
        <v>0.14232828743094833</v>
      </c>
      <c r="H95">
        <f t="shared" si="8"/>
        <v>1.252963331453863</v>
      </c>
      <c r="I95" s="95">
        <f t="shared" si="3"/>
        <v>-0.08408244661605924</v>
      </c>
      <c r="K95" s="95">
        <f t="shared" si="13"/>
        <v>0.028007486959884063</v>
      </c>
      <c r="L95" s="95">
        <f t="shared" si="9"/>
        <v>0.02400419946127222</v>
      </c>
      <c r="M95" s="95">
        <f t="shared" si="14"/>
        <v>-0.004004199461272218</v>
      </c>
      <c r="N95">
        <f t="shared" si="10"/>
        <v>20.99856598785528</v>
      </c>
      <c r="O95">
        <f>O94+N95</f>
        <v>20.99856598785528</v>
      </c>
    </row>
    <row r="96" spans="3:15" ht="14.25" hidden="1">
      <c r="C96">
        <f aca="true" t="shared" si="17" ref="C96:C103">(C$104-C$94)/10+C95</f>
        <v>0.9980498304826969</v>
      </c>
      <c r="D96">
        <f t="shared" si="11"/>
        <v>28.93565961857358</v>
      </c>
      <c r="E96">
        <f t="shared" si="12"/>
        <v>0.8315118959527937</v>
      </c>
      <c r="F96">
        <f t="shared" si="7"/>
        <v>3.4213839015597434</v>
      </c>
      <c r="G96">
        <f t="shared" si="2"/>
        <v>0.1817681335691331</v>
      </c>
      <c r="H96">
        <f t="shared" si="8"/>
        <v>1.17981796405183</v>
      </c>
      <c r="I96" s="95">
        <f t="shared" si="3"/>
        <v>-0.07314536740203303</v>
      </c>
      <c r="K96" s="95">
        <f t="shared" si="13"/>
        <v>0.0405846820466479</v>
      </c>
      <c r="L96" s="95">
        <f t="shared" si="9"/>
        <v>0.03429608450326598</v>
      </c>
      <c r="M96" s="95">
        <f t="shared" si="14"/>
        <v>-0.014296084503265982</v>
      </c>
      <c r="N96">
        <f t="shared" si="10"/>
        <v>5.116461600749686</v>
      </c>
      <c r="O96">
        <f aca="true" t="shared" si="18" ref="O96:O104">O95+N96</f>
        <v>26.115027588604967</v>
      </c>
    </row>
    <row r="97" spans="3:15" ht="14.25" hidden="1">
      <c r="C97">
        <f t="shared" si="17"/>
        <v>0.8854646169424791</v>
      </c>
      <c r="D97">
        <f t="shared" si="11"/>
        <v>25.272805774990342</v>
      </c>
      <c r="E97">
        <f aca="true" t="shared" si="19" ref="E97:E104">(D97/(Bwi+2*C97*(1+mi^2)^0.5))^(4/3)</f>
        <v>0.7209474335530462</v>
      </c>
      <c r="F97">
        <f aca="true" t="shared" si="20" ref="F97:F104">Qhigh/D97</f>
        <v>3.917254019257695</v>
      </c>
      <c r="G97">
        <f t="shared" si="2"/>
        <v>0.23827451943153047</v>
      </c>
      <c r="H97">
        <f aca="true" t="shared" si="21" ref="H97:H104">C97+G97</f>
        <v>1.1237391363740097</v>
      </c>
      <c r="I97" s="95">
        <f t="shared" si="3"/>
        <v>-0.05607882767782035</v>
      </c>
      <c r="K97" s="95">
        <f aca="true" t="shared" si="22" ref="K97:K104">ni^2*F97^2/2.22/E97</f>
        <v>0.061360214487686436</v>
      </c>
      <c r="L97" s="95">
        <f aca="true" t="shared" si="23" ref="L97:L104">(K96+K97)/2</f>
        <v>0.05097244826716717</v>
      </c>
      <c r="M97" s="95">
        <f t="shared" si="14"/>
        <v>-0.030972448267167167</v>
      </c>
      <c r="N97">
        <f aca="true" t="shared" si="24" ref="N97:N104">I97/M97</f>
        <v>1.8106036434087</v>
      </c>
      <c r="O97">
        <f t="shared" si="18"/>
        <v>27.925631232013668</v>
      </c>
    </row>
    <row r="98" spans="3:15" ht="14.25" hidden="1">
      <c r="C98">
        <f t="shared" si="17"/>
        <v>0.7728794034022614</v>
      </c>
      <c r="D98">
        <f t="shared" si="11"/>
        <v>21.711355373870273</v>
      </c>
      <c r="E98">
        <f t="shared" si="19"/>
        <v>0.6121179985906328</v>
      </c>
      <c r="F98">
        <f t="shared" si="20"/>
        <v>4.5598258743047895</v>
      </c>
      <c r="G98">
        <f t="shared" si="2"/>
        <v>0.3228573292543391</v>
      </c>
      <c r="H98">
        <f t="shared" si="21"/>
        <v>1.0957367326566003</v>
      </c>
      <c r="I98" s="95">
        <f t="shared" si="3"/>
        <v>-0.028002403717409363</v>
      </c>
      <c r="K98" s="95">
        <f t="shared" si="22"/>
        <v>0.09792382456483614</v>
      </c>
      <c r="L98" s="95">
        <f t="shared" si="23"/>
        <v>0.07964201952626129</v>
      </c>
      <c r="M98" s="95">
        <f t="shared" si="14"/>
        <v>-0.05964201952626129</v>
      </c>
      <c r="N98">
        <f t="shared" si="24"/>
        <v>0.4695079734025351</v>
      </c>
      <c r="O98">
        <f t="shared" si="18"/>
        <v>28.395139205416204</v>
      </c>
    </row>
    <row r="99" spans="3:15" ht="14.25" hidden="1">
      <c r="C99">
        <f t="shared" si="17"/>
        <v>0.6602941898620436</v>
      </c>
      <c r="D99">
        <f t="shared" si="11"/>
        <v>18.25130841521338</v>
      </c>
      <c r="E99">
        <f t="shared" si="19"/>
        <v>0.5054817186424992</v>
      </c>
      <c r="F99">
        <f t="shared" si="20"/>
        <v>5.4242686468154</v>
      </c>
      <c r="G99">
        <f t="shared" si="2"/>
        <v>0.4568740738016237</v>
      </c>
      <c r="H99">
        <f t="shared" si="21"/>
        <v>1.1171682636636673</v>
      </c>
      <c r="I99" s="95">
        <f t="shared" si="3"/>
        <v>0.021431531007066962</v>
      </c>
      <c r="K99" s="95">
        <f t="shared" si="22"/>
        <v>0.16780462528756962</v>
      </c>
      <c r="L99" s="95">
        <f t="shared" si="23"/>
        <v>0.13286422492620287</v>
      </c>
      <c r="M99" s="95">
        <f t="shared" si="14"/>
        <v>-0.11286422492620286</v>
      </c>
      <c r="N99">
        <f t="shared" si="24"/>
        <v>-0.18988772590322692</v>
      </c>
      <c r="O99">
        <f t="shared" si="18"/>
        <v>28.205251479512977</v>
      </c>
    </row>
    <row r="100" spans="3:15" ht="14.25" hidden="1">
      <c r="C100">
        <f t="shared" si="17"/>
        <v>0.5477089763218258</v>
      </c>
      <c r="D100">
        <f t="shared" si="11"/>
        <v>14.892664899019655</v>
      </c>
      <c r="E100">
        <f t="shared" si="19"/>
        <v>0.4016763629442842</v>
      </c>
      <c r="F100">
        <f t="shared" si="20"/>
        <v>6.647567824245942</v>
      </c>
      <c r="G100">
        <f t="shared" si="2"/>
        <v>0.6861825772973591</v>
      </c>
      <c r="H100">
        <f t="shared" si="21"/>
        <v>1.233891553619185</v>
      </c>
      <c r="I100" s="95">
        <f t="shared" si="3"/>
        <v>0.11672328995551773</v>
      </c>
      <c r="K100" s="95">
        <f t="shared" si="22"/>
        <v>0.3171584434113019</v>
      </c>
      <c r="L100" s="95">
        <f t="shared" si="23"/>
        <v>0.24248153434943576</v>
      </c>
      <c r="M100" s="95">
        <f t="shared" si="14"/>
        <v>-0.22248153434943577</v>
      </c>
      <c r="N100">
        <f t="shared" si="24"/>
        <v>-0.5246425969545357</v>
      </c>
      <c r="O100">
        <f t="shared" si="18"/>
        <v>27.68060888255844</v>
      </c>
    </row>
    <row r="101" spans="3:15" ht="14.25" hidden="1">
      <c r="C101">
        <f t="shared" si="17"/>
        <v>0.435123762781608</v>
      </c>
      <c r="D101">
        <f t="shared" si="11"/>
        <v>11.6354248252891</v>
      </c>
      <c r="E101">
        <f t="shared" si="19"/>
        <v>0.30162139733693977</v>
      </c>
      <c r="F101">
        <f t="shared" si="20"/>
        <v>8.508498957840175</v>
      </c>
      <c r="G101">
        <f t="shared" si="2"/>
        <v>1.1241390452727846</v>
      </c>
      <c r="H101">
        <f t="shared" si="21"/>
        <v>1.5592628080543927</v>
      </c>
      <c r="I101" s="95">
        <f t="shared" si="3"/>
        <v>0.32537125443520765</v>
      </c>
      <c r="K101" s="95">
        <f t="shared" si="22"/>
        <v>0.69194368791322</v>
      </c>
      <c r="L101" s="95">
        <f t="shared" si="23"/>
        <v>0.5045510656622609</v>
      </c>
      <c r="M101" s="95">
        <f t="shared" si="14"/>
        <v>-0.4845510656622609</v>
      </c>
      <c r="N101">
        <f t="shared" si="24"/>
        <v>-0.6714901224920555</v>
      </c>
      <c r="O101">
        <f t="shared" si="18"/>
        <v>27.009118760066386</v>
      </c>
    </row>
    <row r="102" spans="3:15" ht="14.25" hidden="1">
      <c r="C102">
        <f t="shared" si="17"/>
        <v>0.32253854924139025</v>
      </c>
      <c r="D102">
        <f t="shared" si="11"/>
        <v>8.47958819402172</v>
      </c>
      <c r="E102">
        <f t="shared" si="19"/>
        <v>0.20671371318260295</v>
      </c>
      <c r="F102">
        <f t="shared" si="20"/>
        <v>11.67509526816373</v>
      </c>
      <c r="G102">
        <f t="shared" si="2"/>
        <v>2.11658151429657</v>
      </c>
      <c r="H102">
        <f t="shared" si="21"/>
        <v>2.43912006353796</v>
      </c>
      <c r="I102" s="95">
        <f t="shared" si="3"/>
        <v>0.8798572554835675</v>
      </c>
      <c r="K102" s="95">
        <f t="shared" si="22"/>
        <v>1.9009845071994513</v>
      </c>
      <c r="L102" s="95">
        <f t="shared" si="23"/>
        <v>1.2964640975563357</v>
      </c>
      <c r="M102" s="95">
        <f t="shared" si="14"/>
        <v>-1.2764640975563357</v>
      </c>
      <c r="N102">
        <f t="shared" si="24"/>
        <v>-0.6892925991165496</v>
      </c>
      <c r="O102">
        <f t="shared" si="18"/>
        <v>26.319826160949837</v>
      </c>
    </row>
    <row r="103" spans="3:15" ht="14.25" hidden="1">
      <c r="C103">
        <f t="shared" si="17"/>
        <v>0.20995333570117244</v>
      </c>
      <c r="D103">
        <f t="shared" si="11"/>
        <v>5.4251550052175075</v>
      </c>
      <c r="E103">
        <f t="shared" si="19"/>
        <v>0.1192675609611919</v>
      </c>
      <c r="F103">
        <f t="shared" si="20"/>
        <v>18.248326527958966</v>
      </c>
      <c r="G103">
        <f t="shared" si="2"/>
        <v>5.170829519736195</v>
      </c>
      <c r="H103">
        <f t="shared" si="21"/>
        <v>5.380782855437367</v>
      </c>
      <c r="I103" s="95">
        <f t="shared" si="3"/>
        <v>2.941662791899407</v>
      </c>
      <c r="K103" s="95">
        <f t="shared" si="22"/>
        <v>8.049163486236342</v>
      </c>
      <c r="L103" s="95">
        <f t="shared" si="23"/>
        <v>4.975073996717897</v>
      </c>
      <c r="M103" s="95">
        <f t="shared" si="14"/>
        <v>-4.955073996717897</v>
      </c>
      <c r="N103">
        <f t="shared" si="24"/>
        <v>-0.5936667734624916</v>
      </c>
      <c r="O103">
        <f t="shared" si="18"/>
        <v>25.726159387487346</v>
      </c>
    </row>
    <row r="104" spans="2:15" ht="15" hidden="1">
      <c r="B104" s="100" t="s">
        <v>90</v>
      </c>
      <c r="C104" s="98">
        <f>Calculations!D38</f>
        <v>0.0973681221609545</v>
      </c>
      <c r="D104">
        <f t="shared" si="11"/>
        <v>2.472125258876465</v>
      </c>
      <c r="E104">
        <f t="shared" si="19"/>
        <v>0.043839830268139215</v>
      </c>
      <c r="F104">
        <f t="shared" si="20"/>
        <v>40.046514489720344</v>
      </c>
      <c r="G104">
        <f t="shared" si="2"/>
        <v>24.902536067940705</v>
      </c>
      <c r="H104">
        <f t="shared" si="21"/>
        <v>24.99990419010166</v>
      </c>
      <c r="I104" s="95">
        <f t="shared" si="3"/>
        <v>19.619121334664293</v>
      </c>
      <c r="K104" s="95">
        <f t="shared" si="22"/>
        <v>105.45995474506306</v>
      </c>
      <c r="L104" s="95">
        <f t="shared" si="23"/>
        <v>56.7545591156497</v>
      </c>
      <c r="M104" s="95">
        <f t="shared" si="14"/>
        <v>-56.734559115649695</v>
      </c>
      <c r="N104">
        <f t="shared" si="24"/>
        <v>-0.34580547800983163</v>
      </c>
      <c r="O104" s="97">
        <f t="shared" si="18"/>
        <v>25.380353909477513</v>
      </c>
    </row>
    <row r="105" spans="9:13" ht="14.25" hidden="1">
      <c r="I105" s="95"/>
      <c r="K105" s="95"/>
      <c r="L105" s="95"/>
      <c r="M105" s="95"/>
    </row>
    <row r="106" spans="9:13" ht="14.25" hidden="1">
      <c r="I106" s="95"/>
      <c r="K106" s="95"/>
      <c r="L106" s="95"/>
      <c r="M106" s="95"/>
    </row>
    <row r="107" spans="9:13" ht="14.25" hidden="1">
      <c r="I107" s="95"/>
      <c r="K107" s="95"/>
      <c r="L107" s="95"/>
      <c r="M107" s="95"/>
    </row>
    <row r="108" spans="9:13" ht="14.25" hidden="1">
      <c r="I108" s="95"/>
      <c r="K108" s="95"/>
      <c r="L108" s="95"/>
      <c r="M108" s="95"/>
    </row>
    <row r="109" spans="9:13" ht="14.25" hidden="1">
      <c r="I109" s="95"/>
      <c r="K109" s="95"/>
      <c r="L109" s="95"/>
      <c r="M109" s="95"/>
    </row>
    <row r="110" spans="9:13" ht="14.25" hidden="1">
      <c r="I110" s="95"/>
      <c r="K110" s="95"/>
      <c r="L110" s="95"/>
      <c r="M110" s="95"/>
    </row>
    <row r="111" spans="9:13" ht="14.25" hidden="1">
      <c r="I111" s="95"/>
      <c r="K111" s="95"/>
      <c r="L111" s="95"/>
      <c r="M111" s="95"/>
    </row>
    <row r="112" spans="9:13" s="359" customFormat="1" ht="14.25" hidden="1">
      <c r="I112" s="360"/>
      <c r="K112" s="360"/>
      <c r="L112" s="360"/>
      <c r="M112" s="360"/>
    </row>
    <row r="113" spans="9:13" ht="14.25" hidden="1">
      <c r="I113" s="95"/>
      <c r="K113" s="95"/>
      <c r="L113" s="95"/>
      <c r="M113" s="95"/>
    </row>
    <row r="114" spans="9:13" ht="14.25" hidden="1">
      <c r="I114" s="95"/>
      <c r="K114" s="95"/>
      <c r="L114" s="95"/>
      <c r="M114" s="95"/>
    </row>
    <row r="115" spans="9:13" ht="14.25" hidden="1">
      <c r="I115" s="95"/>
      <c r="K115" s="95"/>
      <c r="L115" s="95"/>
      <c r="M115" s="95"/>
    </row>
    <row r="116" spans="9:13" ht="14.25" hidden="1">
      <c r="I116" s="95"/>
      <c r="K116" s="95"/>
      <c r="L116" s="95"/>
      <c r="M116" s="95"/>
    </row>
    <row r="117" spans="9:13" ht="14.25" hidden="1">
      <c r="I117" s="95"/>
      <c r="K117" s="95"/>
      <c r="L117" s="95"/>
      <c r="M117" s="95"/>
    </row>
    <row r="118" spans="9:13" ht="14.25" hidden="1">
      <c r="I118" s="95"/>
      <c r="K118" s="95"/>
      <c r="L118" s="95"/>
      <c r="M118" s="95"/>
    </row>
    <row r="119" spans="9:13" ht="14.25" hidden="1">
      <c r="I119" s="95"/>
      <c r="K119" s="95"/>
      <c r="L119" s="95"/>
      <c r="M119" s="95"/>
    </row>
    <row r="120" spans="9:16" ht="15" hidden="1">
      <c r="I120" s="95"/>
      <c r="K120" s="95"/>
      <c r="L120" s="95"/>
      <c r="M120" s="95"/>
      <c r="P120" s="97"/>
    </row>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sheetData>
  <sheetProtection password="CB73" sheet="1" objects="1" scenarios="1"/>
  <mergeCells count="24">
    <mergeCell ref="A7:J8"/>
    <mergeCell ref="B34:C35"/>
    <mergeCell ref="A24:J25"/>
    <mergeCell ref="A26:B26"/>
    <mergeCell ref="A1:J1"/>
    <mergeCell ref="B9:C9"/>
    <mergeCell ref="E9:F9"/>
    <mergeCell ref="H9:I9"/>
    <mergeCell ref="A2:J3"/>
    <mergeCell ref="C4:E4"/>
    <mergeCell ref="C5:E5"/>
    <mergeCell ref="H4:I4"/>
    <mergeCell ref="C6:E6"/>
    <mergeCell ref="A4:A6"/>
    <mergeCell ref="F59:I59"/>
    <mergeCell ref="C53:C54"/>
    <mergeCell ref="A47:J48"/>
    <mergeCell ref="E37:F41"/>
    <mergeCell ref="F4:F6"/>
    <mergeCell ref="H5:I5"/>
    <mergeCell ref="D26:F26"/>
    <mergeCell ref="A41:C41"/>
    <mergeCell ref="A16:J17"/>
    <mergeCell ref="I41:J42"/>
  </mergeCells>
  <dataValidations count="2">
    <dataValidation errorStyle="warning" type="decimal" operator="lessThanOrEqual" allowBlank="1" showInputMessage="1" showErrorMessage="1" error="NRCS Standard 410&#10;requires the downstream channel to be &#10;less than 2%." sqref="I13">
      <formula1>0.02</formula1>
    </dataValidation>
    <dataValidation allowBlank="1" showInputMessage="1" showErrorMessage="1" prompt="Input Station of Inlet" sqref="C26"/>
  </dataValidations>
  <printOptions horizontalCentered="1" verticalCentered="1"/>
  <pageMargins left="0.5" right="0.5" top="0.21" bottom="0.19" header="0.17" footer="0.19"/>
  <pageSetup fitToHeight="0" fitToWidth="1" horizontalDpi="600" verticalDpi="600" orientation="portrait" scale="76" r:id="rId3"/>
  <headerFooter alignWithMargins="0">
    <oddHeader>&amp;LRock_Chute.xls&amp;RPage &amp;P of 3</oddHeader>
  </headerFooter>
  <rowBreaks count="1" manualBreakCount="1">
    <brk id="111"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O70"/>
  <sheetViews>
    <sheetView zoomScalePageLayoutView="0" workbookViewId="0" topLeftCell="A1">
      <selection activeCell="C9" sqref="C9"/>
    </sheetView>
  </sheetViews>
  <sheetFormatPr defaultColWidth="9.00390625" defaultRowHeight="0" customHeight="1" zeroHeight="1"/>
  <cols>
    <col min="1" max="1" width="9.75390625" style="0" customWidth="1"/>
    <col min="2" max="2" width="14.00390625" style="0" customWidth="1"/>
    <col min="3" max="4" width="12.625" style="0" customWidth="1"/>
    <col min="5" max="5" width="13.625" style="0" customWidth="1"/>
    <col min="6" max="9" width="12.625" style="0" customWidth="1"/>
    <col min="11" max="11" width="6.375" style="0" customWidth="1"/>
    <col min="12" max="12" width="8.00390625" style="0" customWidth="1"/>
    <col min="13" max="13" width="15.625" style="0" customWidth="1"/>
    <col min="14" max="14" width="10.00390625" style="0" customWidth="1"/>
    <col min="26" max="26" width="7.625" style="0" customWidth="1"/>
    <col min="27" max="29" width="12.625" style="0" customWidth="1"/>
    <col min="30" max="30" width="13.625" style="0" customWidth="1"/>
    <col min="31" max="34" width="12.625" style="0" customWidth="1"/>
    <col min="35" max="35" width="5.625" style="0" customWidth="1"/>
  </cols>
  <sheetData>
    <row r="1" spans="1:12" ht="27" thickTop="1">
      <c r="A1" s="503" t="s">
        <v>169</v>
      </c>
      <c r="B1" s="504"/>
      <c r="C1" s="504"/>
      <c r="D1" s="504"/>
      <c r="E1" s="504"/>
      <c r="F1" s="504"/>
      <c r="G1" s="504"/>
      <c r="H1" s="504"/>
      <c r="I1" s="504"/>
      <c r="J1" s="504"/>
      <c r="L1" s="476"/>
    </row>
    <row r="2" spans="1:12" ht="14.25">
      <c r="A2" s="507" t="str">
        <f>'Design Data'!A2:J3</f>
        <v>(Version WI-July-2010, Based on Design of Rock Chutes by Robinson, Rice, Kadavy, ASAE, 1998)</v>
      </c>
      <c r="B2" s="507"/>
      <c r="C2" s="507"/>
      <c r="D2" s="507"/>
      <c r="E2" s="507"/>
      <c r="F2" s="507"/>
      <c r="G2" s="507"/>
      <c r="H2" s="507"/>
      <c r="I2" s="507"/>
      <c r="J2" s="507"/>
      <c r="K2" s="197"/>
      <c r="L2" s="477"/>
    </row>
    <row r="3" spans="1:12" ht="14.25">
      <c r="A3" s="508"/>
      <c r="B3" s="508"/>
      <c r="C3" s="508"/>
      <c r="D3" s="508"/>
      <c r="E3" s="508"/>
      <c r="F3" s="508"/>
      <c r="G3" s="508"/>
      <c r="H3" s="508"/>
      <c r="I3" s="508"/>
      <c r="J3" s="508"/>
      <c r="L3" s="477"/>
    </row>
    <row r="4" spans="1:12" ht="16.5" thickBot="1">
      <c r="A4" s="508"/>
      <c r="B4" s="15" t="s">
        <v>29</v>
      </c>
      <c r="C4" s="543" t="str">
        <f>'Design Data'!C4</f>
        <v>Sample project</v>
      </c>
      <c r="D4" s="544"/>
      <c r="E4" s="544"/>
      <c r="F4" s="545"/>
      <c r="G4" s="15" t="s">
        <v>104</v>
      </c>
      <c r="H4" s="543" t="str">
        <f>'Design Data'!H4</f>
        <v>anywhere</v>
      </c>
      <c r="I4" s="546"/>
      <c r="J4" s="60"/>
      <c r="K4" s="197"/>
      <c r="L4" s="478"/>
    </row>
    <row r="5" spans="1:12" ht="16.5" thickTop="1">
      <c r="A5" s="508"/>
      <c r="B5" s="15" t="s">
        <v>30</v>
      </c>
      <c r="C5" s="547" t="str">
        <f>'Design Data'!C5:E5</f>
        <v>sam</v>
      </c>
      <c r="D5" s="548"/>
      <c r="E5" s="548"/>
      <c r="F5" s="545"/>
      <c r="G5" s="15" t="s">
        <v>56</v>
      </c>
      <c r="H5" s="522"/>
      <c r="I5" s="523"/>
      <c r="J5" s="60"/>
      <c r="K5" s="197"/>
      <c r="L5" s="335"/>
    </row>
    <row r="6" spans="1:11" ht="16.5" thickBot="1">
      <c r="A6" s="508"/>
      <c r="B6" s="15" t="s">
        <v>31</v>
      </c>
      <c r="C6" s="472">
        <f>'Design Data'!C6</f>
        <v>38892</v>
      </c>
      <c r="D6" s="532"/>
      <c r="E6" s="532"/>
      <c r="F6" s="545"/>
      <c r="G6" s="15" t="s">
        <v>57</v>
      </c>
      <c r="H6" s="198"/>
      <c r="I6" s="198"/>
      <c r="J6" s="60"/>
      <c r="K6" s="197"/>
    </row>
    <row r="7" spans="1:11" ht="16.5" customHeight="1" thickBot="1">
      <c r="A7" s="475" t="s">
        <v>420</v>
      </c>
      <c r="B7" s="60"/>
      <c r="C7" s="475" t="s">
        <v>419</v>
      </c>
      <c r="D7" s="60"/>
      <c r="E7" s="60"/>
      <c r="F7" s="60"/>
      <c r="G7" s="60"/>
      <c r="H7" s="60"/>
      <c r="I7" s="60"/>
      <c r="J7" s="60"/>
      <c r="K7" s="197"/>
    </row>
    <row r="8" spans="1:14" ht="19.5" customHeight="1" thickBot="1" thickTop="1">
      <c r="A8" s="474" t="s">
        <v>105</v>
      </c>
      <c r="B8" s="471"/>
      <c r="C8" s="145" t="s">
        <v>302</v>
      </c>
      <c r="D8" s="533" t="s">
        <v>6</v>
      </c>
      <c r="E8" s="534"/>
      <c r="F8" s="534"/>
      <c r="G8" s="138"/>
      <c r="H8" s="533" t="s">
        <v>272</v>
      </c>
      <c r="I8" s="535"/>
      <c r="J8" s="139"/>
      <c r="K8" s="197"/>
      <c r="M8" s="308"/>
      <c r="N8" s="308"/>
    </row>
    <row r="9" spans="1:11" ht="19.5" customHeight="1" thickTop="1">
      <c r="A9" s="336">
        <f>IF('Design Data'!$M$26="Not Solved",0,ROUND(Calculations!$C$55*0.03937*'Design Data'!$G$50,1))</f>
        <v>6.2</v>
      </c>
      <c r="B9" s="355" t="s">
        <v>322</v>
      </c>
      <c r="C9" s="476"/>
      <c r="D9" s="306" t="s">
        <v>0</v>
      </c>
      <c r="E9" s="557" t="s">
        <v>1</v>
      </c>
      <c r="F9" s="557"/>
      <c r="G9" s="141"/>
      <c r="H9" s="135" t="s">
        <v>323</v>
      </c>
      <c r="I9" s="162" t="str">
        <f>CONCATENATE("",ROUNDUP(Calculations!C88,0),"")</f>
        <v>0</v>
      </c>
      <c r="J9" s="143"/>
      <c r="K9" s="197"/>
    </row>
    <row r="10" spans="1:15" ht="19.5" customHeight="1">
      <c r="A10" s="336">
        <f>IF('Design Data'!$M$26="Not Solved",0,ROUND(2*Calculations!$C$55*0.03937*'Design Data'!$G$50,1))</f>
        <v>12.4</v>
      </c>
      <c r="B10" s="334" t="s">
        <v>303</v>
      </c>
      <c r="C10" s="477"/>
      <c r="D10" s="305" t="s">
        <v>2</v>
      </c>
      <c r="E10" s="529" t="str">
        <f>CONCATENATE(ROUND(1.5*$C$9,0)," - ",ROUND(2*$C$9,0)," (",ROUND(VLOOKUP($I$16,$L$10:$N$11,3)*(1.5*$C$9/12)^3,0)," - ",ROUND(VLOOKUP($I$16,$L$10:$N$11,3)*(2*$C$9/12)^3,0),")")</f>
        <v>0 - 0 (0 - 0)</v>
      </c>
      <c r="F10" s="529"/>
      <c r="G10" s="141"/>
      <c r="H10" s="135" t="s">
        <v>304</v>
      </c>
      <c r="I10" s="162">
        <f>ROUNDUP(Calculations!C94,0)</f>
        <v>237</v>
      </c>
      <c r="J10" s="143"/>
      <c r="K10" s="200"/>
      <c r="L10">
        <v>1</v>
      </c>
      <c r="M10">
        <v>2.65</v>
      </c>
      <c r="N10" s="131">
        <v>122.3</v>
      </c>
      <c r="O10" s="293" t="s">
        <v>320</v>
      </c>
    </row>
    <row r="11" spans="1:15" ht="19.5" customHeight="1">
      <c r="A11" s="337">
        <f>IF('Design Data'!$M$26="Not Solved",0,ROUND(Calculations!$C$23,0))</f>
        <v>5</v>
      </c>
      <c r="B11" s="334" t="s">
        <v>106</v>
      </c>
      <c r="C11" s="477"/>
      <c r="D11" s="305" t="s">
        <v>3</v>
      </c>
      <c r="E11" s="529" t="str">
        <f>CONCATENATE(ROUND(1.3*$C$9,0)," - ",ROUND(1.8*$C$9,0)," (",ROUND(VLOOKUP($I$16,$L$10:$N$11,3)*(1.3*$C$9/12)^3,0)," - ",ROUND(VLOOKUP($I$16,$L$10:$N$11,3)*(1.8*$C$9/12)^3,0),")")</f>
        <v>0 - 0 (0 - 0)</v>
      </c>
      <c r="F11" s="529"/>
      <c r="G11" s="141"/>
      <c r="H11" s="135" t="str">
        <f>IF(C14="No","Bedding =",CONCATENATE("Bedding ",E14," in. ="))</f>
        <v>Bedding =</v>
      </c>
      <c r="I11" s="162">
        <f>IF(C14="No",0,ROUNDUP(Calculations!H88,0))</f>
        <v>0</v>
      </c>
      <c r="J11" s="143"/>
      <c r="K11" s="200"/>
      <c r="L11">
        <v>2</v>
      </c>
      <c r="M11">
        <v>2.75</v>
      </c>
      <c r="N11" s="131">
        <v>89.71</v>
      </c>
      <c r="O11" s="293" t="s">
        <v>318</v>
      </c>
    </row>
    <row r="12" spans="1:11" ht="19.5" customHeight="1" thickBot="1">
      <c r="A12" s="337">
        <f>IF('Design Data'!$M$26="Not Solved",0,ROUND(15*Calculations!$C$55*'Design Data'!$G$50*0.03937/12,0))</f>
        <v>8</v>
      </c>
      <c r="B12" s="334" t="s">
        <v>107</v>
      </c>
      <c r="C12" s="478"/>
      <c r="D12" s="305" t="s">
        <v>4</v>
      </c>
      <c r="E12" s="529" t="str">
        <f>CONCATENATE(ROUND(1*$C$9,0)," - ",ROUND(1.5*$C$9,0)," (",ROUND(VLOOKUP($I$16,$L$10:$N$11,3)*(1*$C$9/12)^3,0)," - ",ROUND(VLOOKUP($I$16,$L$10:$N$11,3)*(1.5*$C$9/12)^3,0),")")</f>
        <v>0 - 0 (0 - 0)</v>
      </c>
      <c r="F12" s="529"/>
      <c r="G12" s="141"/>
      <c r="H12" s="135" t="s">
        <v>128</v>
      </c>
      <c r="I12" s="171">
        <v>0</v>
      </c>
      <c r="J12" s="143"/>
      <c r="K12" s="197"/>
    </row>
    <row r="13" spans="1:13" ht="19.5" customHeight="1" thickBot="1" thickTop="1">
      <c r="A13" s="337">
        <f>IF('Design Data'!$M$26="Not Solved",0,ROUND(40*Calculations!$C$55/25.4/12,0))</f>
        <v>17</v>
      </c>
      <c r="B13" s="334" t="s">
        <v>113</v>
      </c>
      <c r="C13" s="470">
        <f>2.78*C9</f>
        <v>0</v>
      </c>
      <c r="D13" s="305" t="s">
        <v>5</v>
      </c>
      <c r="E13" s="529" t="str">
        <f>CONCATENATE(ROUND(0.8*$C$9,0)," - ",ROUND(1.3*$C$9,0)," (",ROUND(VLOOKUP($I$16,$L$10:$N$11,3)*(0.8*$C$9/12)^3,0)," - ",ROUND(VLOOKUP($I$16,$L$10:$N$11,3)*(1.3*$C$9/12)^3,0),")")</f>
        <v>0 - 0 (0 - 0)</v>
      </c>
      <c r="F13" s="529"/>
      <c r="G13" s="287"/>
      <c r="H13" s="135" t="s">
        <v>127</v>
      </c>
      <c r="I13" s="171">
        <v>0</v>
      </c>
      <c r="J13" s="143"/>
      <c r="K13" s="197"/>
      <c r="L13">
        <v>0</v>
      </c>
      <c r="M13" s="370" t="s">
        <v>415</v>
      </c>
    </row>
    <row r="14" spans="1:13" ht="19.5" customHeight="1" thickTop="1">
      <c r="A14" s="140"/>
      <c r="B14" s="135" t="s">
        <v>110</v>
      </c>
      <c r="C14" s="170" t="s">
        <v>403</v>
      </c>
      <c r="D14" s="135">
        <f>IF(C14="No","","Depth (in.) =")</f>
      </c>
      <c r="E14" s="169"/>
      <c r="F14" s="287"/>
      <c r="G14" s="287"/>
      <c r="H14" s="135" t="s">
        <v>129</v>
      </c>
      <c r="I14" s="169">
        <v>0</v>
      </c>
      <c r="J14" s="143"/>
      <c r="K14" s="197"/>
      <c r="L14" s="358">
        <v>6.01</v>
      </c>
      <c r="M14" s="370" t="s">
        <v>416</v>
      </c>
    </row>
    <row r="15" spans="1:13" ht="12" customHeight="1" thickBot="1">
      <c r="A15" s="140"/>
      <c r="B15" s="135"/>
      <c r="C15" s="146"/>
      <c r="D15" s="145"/>
      <c r="E15" s="34"/>
      <c r="F15" s="34"/>
      <c r="G15" s="21"/>
      <c r="H15" s="135"/>
      <c r="I15" s="144"/>
      <c r="J15" s="143"/>
      <c r="K15" s="197"/>
      <c r="L15" s="358">
        <v>8.01</v>
      </c>
      <c r="M15" s="370" t="s">
        <v>325</v>
      </c>
    </row>
    <row r="16" spans="1:13" ht="19.5" customHeight="1" thickBot="1">
      <c r="A16" s="140"/>
      <c r="B16" s="142"/>
      <c r="C16" s="553"/>
      <c r="D16" s="554"/>
      <c r="E16" s="554"/>
      <c r="F16" s="555"/>
      <c r="G16" s="287"/>
      <c r="H16" s="332" t="s">
        <v>305</v>
      </c>
      <c r="I16" s="333">
        <v>1</v>
      </c>
      <c r="J16" s="143"/>
      <c r="K16" s="197"/>
      <c r="L16" s="469">
        <v>10.01</v>
      </c>
      <c r="M16" s="468" t="s">
        <v>414</v>
      </c>
    </row>
    <row r="17" spans="1:13" ht="15">
      <c r="A17" s="140"/>
      <c r="B17" s="21"/>
      <c r="C17" s="556"/>
      <c r="D17" s="556"/>
      <c r="E17" s="556"/>
      <c r="F17" s="556"/>
      <c r="G17" s="331">
        <f>IF(AND(I16=2,'Design Data'!F11&lt;1.7),"Increase factor of safety or check degree of angularity","")</f>
      </c>
      <c r="H17" s="21"/>
      <c r="I17" s="21"/>
      <c r="J17" s="143"/>
      <c r="K17" s="197"/>
      <c r="L17" s="358">
        <v>13.1</v>
      </c>
      <c r="M17" s="370" t="s">
        <v>327</v>
      </c>
    </row>
    <row r="18" spans="1:11" ht="16.5" customHeight="1">
      <c r="A18" s="140"/>
      <c r="B18" s="22"/>
      <c r="C18" s="553"/>
      <c r="D18" s="554"/>
      <c r="E18" s="554"/>
      <c r="F18" s="555"/>
      <c r="G18" s="348">
        <v>1</v>
      </c>
      <c r="H18" s="349" t="s">
        <v>321</v>
      </c>
      <c r="I18" s="350"/>
      <c r="J18" s="143"/>
      <c r="K18" s="197"/>
    </row>
    <row r="19" spans="1:11" ht="16.5" customHeight="1">
      <c r="A19" s="140"/>
      <c r="B19" s="22"/>
      <c r="C19" s="163"/>
      <c r="D19" s="164"/>
      <c r="E19" s="164"/>
      <c r="F19" s="164"/>
      <c r="G19" s="351">
        <v>2</v>
      </c>
      <c r="H19" s="352" t="s">
        <v>319</v>
      </c>
      <c r="I19" s="353"/>
      <c r="J19" s="143"/>
      <c r="K19" s="197"/>
    </row>
    <row r="20" spans="1:11" ht="16.5" customHeight="1">
      <c r="A20" s="140"/>
      <c r="B20" s="22"/>
      <c r="C20" s="22"/>
      <c r="D20" s="22"/>
      <c r="E20" s="135" t="s">
        <v>108</v>
      </c>
      <c r="F20" s="173" t="str">
        <f>CONCATENATE(" ",Hd," ft.")</f>
        <v> 100 ft.</v>
      </c>
      <c r="G20" s="22"/>
      <c r="H20" s="22"/>
      <c r="I20" s="22"/>
      <c r="J20" s="143"/>
      <c r="K20" s="197"/>
    </row>
    <row r="21" spans="1:11" ht="16.5" customHeight="1">
      <c r="A21" s="140"/>
      <c r="B21" s="520" t="str">
        <f>CONCATENATE("   Slope = ",ROUND(Si,4)," ft./ft.")</f>
        <v>   Slope = 0.02 ft./ft.</v>
      </c>
      <c r="C21" s="520"/>
      <c r="D21" s="22"/>
      <c r="E21" s="21"/>
      <c r="F21" s="21"/>
      <c r="G21" s="22"/>
      <c r="H21" s="22"/>
      <c r="I21" s="22"/>
      <c r="J21" s="143"/>
      <c r="K21" s="197"/>
    </row>
    <row r="22" spans="1:13" ht="16.5" customHeight="1">
      <c r="A22" s="140"/>
      <c r="B22" s="520"/>
      <c r="C22" s="520"/>
      <c r="D22" s="22" t="s">
        <v>111</v>
      </c>
      <c r="E22" s="22"/>
      <c r="F22" s="155" t="str">
        <f>CONCATENATE("",ROUND(C10,1)," in.")</f>
        <v>0 in.</v>
      </c>
      <c r="G22" s="48"/>
      <c r="H22" s="22"/>
      <c r="I22" s="22"/>
      <c r="J22" s="143"/>
      <c r="K22" s="197"/>
      <c r="M22" s="473"/>
    </row>
    <row r="23" spans="1:11" ht="16.5" customHeight="1">
      <c r="A23" s="140"/>
      <c r="B23" s="22"/>
      <c r="C23" s="22"/>
      <c r="D23" s="107" t="str">
        <f>(CONCATENATE("",ROUND(C11,0)," ft."))</f>
        <v>0 ft.</v>
      </c>
      <c r="E23" s="22"/>
      <c r="F23" s="21"/>
      <c r="G23" s="21"/>
      <c r="H23" s="21"/>
      <c r="I23" s="21"/>
      <c r="J23" s="143"/>
      <c r="K23" s="197"/>
    </row>
    <row r="24" spans="1:11" ht="14.25">
      <c r="A24" s="140"/>
      <c r="B24" s="22"/>
      <c r="C24" s="22"/>
      <c r="D24" s="22"/>
      <c r="E24" s="22"/>
      <c r="F24" s="21"/>
      <c r="G24" s="21"/>
      <c r="H24" s="21"/>
      <c r="I24" s="21"/>
      <c r="J24" s="143"/>
      <c r="K24" s="197"/>
    </row>
    <row r="25" spans="1:11" ht="15.75" customHeight="1">
      <c r="A25" s="140"/>
      <c r="B25" s="22"/>
      <c r="C25" s="22"/>
      <c r="D25" s="22"/>
      <c r="E25" s="22"/>
      <c r="F25" s="54"/>
      <c r="G25" s="21"/>
      <c r="H25" s="21"/>
      <c r="I25" s="21"/>
      <c r="J25" s="143"/>
      <c r="K25" s="197"/>
    </row>
    <row r="26" spans="1:11" ht="15">
      <c r="A26" s="140"/>
      <c r="B26" s="22"/>
      <c r="C26" s="135" t="s">
        <v>113</v>
      </c>
      <c r="D26" s="364" t="str">
        <f>CONCATENATE("",ROUND(C13,0)," ft.")</f>
        <v>0 ft.</v>
      </c>
      <c r="E26" s="22"/>
      <c r="F26" s="54" t="s">
        <v>119</v>
      </c>
      <c r="G26" s="21"/>
      <c r="H26" s="20"/>
      <c r="I26" s="22"/>
      <c r="J26" s="143"/>
      <c r="K26" s="197"/>
    </row>
    <row r="27" spans="1:11" ht="15.75">
      <c r="A27" s="551" t="s">
        <v>7</v>
      </c>
      <c r="B27" s="552"/>
      <c r="C27" s="22"/>
      <c r="D27" s="22"/>
      <c r="E27" s="22"/>
      <c r="F27" s="135" t="s">
        <v>118</v>
      </c>
      <c r="G27" s="108" t="str">
        <f>CONCATENATE("",'Design Data'!D18," ft.")</f>
        <v>91 ft.</v>
      </c>
      <c r="H27" s="22"/>
      <c r="I27" s="22"/>
      <c r="J27" s="143"/>
      <c r="K27" s="197"/>
    </row>
    <row r="28" spans="1:11" ht="14.25">
      <c r="A28" s="312" t="s">
        <v>264</v>
      </c>
      <c r="B28" s="313" t="s">
        <v>271</v>
      </c>
      <c r="C28" s="22"/>
      <c r="D28" s="22"/>
      <c r="E28" s="22"/>
      <c r="F28" s="22"/>
      <c r="G28" s="22"/>
      <c r="H28" s="147"/>
      <c r="I28" s="22"/>
      <c r="J28" s="143"/>
      <c r="K28" s="197"/>
    </row>
    <row r="29" spans="1:11" ht="15">
      <c r="A29" s="466">
        <f>'Design Data'!C26</f>
        <v>0</v>
      </c>
      <c r="B29" s="314" t="str">
        <f>CONCATENATE(Plan!$F$20," (1)")</f>
        <v> 100 ft. (1)</v>
      </c>
      <c r="C29" s="288"/>
      <c r="D29" s="22"/>
      <c r="E29" s="22"/>
      <c r="F29" s="22"/>
      <c r="G29" s="148"/>
      <c r="H29" s="22"/>
      <c r="I29" s="516" t="str">
        <f>CONCATENATE("Slope = ",ROUND(So,4)," ft./ft.")</f>
        <v>Slope = 0.01 ft./ft.</v>
      </c>
      <c r="J29" s="524"/>
      <c r="K29" s="197"/>
    </row>
    <row r="30" spans="1:11" ht="15">
      <c r="A30" s="466">
        <f>A29+Plan!$C$11-Plan!$H$25</f>
        <v>0</v>
      </c>
      <c r="B30" s="314" t="str">
        <f>CONCATENATE(Plan!$F$20," (2)")</f>
        <v> 100 ft. (2)</v>
      </c>
      <c r="C30" s="22"/>
      <c r="D30" s="22"/>
      <c r="E30" s="22"/>
      <c r="F30" s="149" t="str">
        <f>CONCATENATE("",ROUND(1/Sc,2),"        ")</f>
        <v>4        </v>
      </c>
      <c r="G30" s="22" t="s">
        <v>112</v>
      </c>
      <c r="H30" s="22"/>
      <c r="I30" s="516"/>
      <c r="J30" s="524"/>
      <c r="K30" s="197"/>
    </row>
    <row r="31" spans="1:11" ht="15">
      <c r="A31" s="466">
        <f>A29+C11</f>
        <v>0</v>
      </c>
      <c r="B31" s="314" t="str">
        <f>CONCATENATE(ROUND(Hd-Plan!$J$24,1)," ft. (3)")</f>
        <v>100 ft. (3)</v>
      </c>
      <c r="C31" s="22"/>
      <c r="D31" s="22"/>
      <c r="E31" s="175" t="str">
        <f>CONCATENATE("",ROUND((Hd-'Design Data'!$D$18)/Sc,0)," ft.")</f>
        <v>36 ft.</v>
      </c>
      <c r="F31" s="22"/>
      <c r="G31" s="174" t="str">
        <f>CONCATENATE("",ROUND(C12,0)," ft.")</f>
        <v>0 ft.</v>
      </c>
      <c r="H31" s="135" t="s">
        <v>43</v>
      </c>
      <c r="I31" s="108" t="str">
        <f>CONCATENATE("",d," ft.")</f>
        <v>1 ft.</v>
      </c>
      <c r="J31" s="143"/>
      <c r="K31" s="197"/>
    </row>
    <row r="32" spans="1:11" ht="14.25">
      <c r="A32" s="466">
        <f>A29+Plan!$C$11+Plan!$I$25</f>
        <v>0</v>
      </c>
      <c r="B32" s="314" t="str">
        <f>CONCATENATE(ROUND(Hd-Plan!$I$24,1)," ft. (4)")</f>
        <v>100 ft. (4)</v>
      </c>
      <c r="C32" s="22"/>
      <c r="D32" s="22"/>
      <c r="E32" s="22"/>
      <c r="F32" s="22"/>
      <c r="G32" s="22"/>
      <c r="H32" s="22"/>
      <c r="I32" s="22"/>
      <c r="J32" s="143"/>
      <c r="K32" s="197"/>
    </row>
    <row r="33" spans="1:11" ht="16.5">
      <c r="A33" s="466">
        <f>A29+Plan!$C$11+(Hd-'Design Data'!D18)/Sc</f>
        <v>36</v>
      </c>
      <c r="B33" s="325" t="str">
        <f>CONCATENATE(Plan!$G$27," (5)")</f>
        <v>91 ft. (5)</v>
      </c>
      <c r="C33" s="22"/>
      <c r="D33" s="22"/>
      <c r="E33" s="152" t="s">
        <v>131</v>
      </c>
      <c r="F33" s="153"/>
      <c r="G33" s="153"/>
      <c r="H33" s="283" t="s">
        <v>253</v>
      </c>
      <c r="I33" s="288" t="str">
        <f>IF('Design Data'!$M$26="Not Solved","----",IF(AND(IF('Design Data'!$H$22="Program",Calculations!$C$29,'Design Data'!$H$22)+'Design Data'!$F$15&gt;=Calculations!$C$67,IF('Design Data'!$H$23="Program",Calculations!$F$29,'Design Data'!$H$23)+'Design Data'!$F$15&gt;=Calculations!$F$67),"will","will not"))</f>
        <v>will</v>
      </c>
      <c r="J33" s="143"/>
      <c r="K33" s="197"/>
    </row>
    <row r="34" spans="1:11" ht="16.5">
      <c r="A34" s="466">
        <f>A29+Plan!$C$11+(Hd-'Design Data'!D18)/Sc+Plan!C12</f>
        <v>36</v>
      </c>
      <c r="B34" s="325" t="str">
        <f>CONCATENATE(Plan!$G$27," (6)")</f>
        <v>91 ft. (6)</v>
      </c>
      <c r="C34" s="22"/>
      <c r="D34" s="22"/>
      <c r="E34" s="152"/>
      <c r="F34" s="153"/>
      <c r="G34" s="153"/>
      <c r="H34" s="284" t="s">
        <v>8</v>
      </c>
      <c r="I34" s="22"/>
      <c r="J34" s="143"/>
      <c r="K34" s="197"/>
    </row>
    <row r="35" spans="1:11" ht="15">
      <c r="A35" s="466">
        <f>A29+Plan!C11+Plan!C12+d*2.5+(Hd-'Design Data'!D18)/Sc</f>
        <v>38.5</v>
      </c>
      <c r="B35" s="326" t="str">
        <f>CONCATENATE(d+'Design Data'!$D$18," ft. (7)")</f>
        <v>92 ft. (7)</v>
      </c>
      <c r="C35" s="22"/>
      <c r="D35" s="22"/>
      <c r="E35" s="22"/>
      <c r="F35" s="54"/>
      <c r="G35" s="22"/>
      <c r="H35" s="284"/>
      <c r="I35" s="22"/>
      <c r="J35" s="143"/>
      <c r="K35" s="197"/>
    </row>
    <row r="36" spans="1:11" ht="14.25">
      <c r="A36" s="140"/>
      <c r="B36" s="22"/>
      <c r="C36" s="22"/>
      <c r="D36" s="22"/>
      <c r="E36" s="22"/>
      <c r="F36" s="22"/>
      <c r="G36" s="22"/>
      <c r="H36" s="22"/>
      <c r="I36" s="22"/>
      <c r="J36" s="143"/>
      <c r="K36" s="197"/>
    </row>
    <row r="37" spans="1:11" ht="15" customHeight="1">
      <c r="A37" s="464"/>
      <c r="B37" s="22"/>
      <c r="C37" s="176"/>
      <c r="D37" s="463"/>
      <c r="E37" s="22"/>
      <c r="F37" s="22"/>
      <c r="G37" s="176" t="str">
        <f>CONCATENATE("",ROUND(IF(Calculations!D38&gt;Calculations!C67,Calculations!D38,Calculations!C67)*mc*2+Bwc,0)," ft.")</f>
        <v>53 ft.</v>
      </c>
      <c r="H37" s="22"/>
      <c r="I37" s="22"/>
      <c r="J37" s="143"/>
      <c r="K37" s="197"/>
    </row>
    <row r="38" spans="1:11" ht="14.25" customHeight="1">
      <c r="A38" s="29" t="s">
        <v>417</v>
      </c>
      <c r="B38" s="22"/>
      <c r="C38" s="22"/>
      <c r="D38" s="22"/>
      <c r="E38" s="22"/>
      <c r="F38" s="22"/>
      <c r="G38" s="22"/>
      <c r="H38" s="22"/>
      <c r="I38" s="22"/>
      <c r="J38" s="143"/>
      <c r="K38" s="197"/>
    </row>
    <row r="39" spans="1:11" ht="14.25" customHeight="1">
      <c r="A39" s="29"/>
      <c r="B39" s="22"/>
      <c r="C39" s="22"/>
      <c r="D39" s="22"/>
      <c r="E39" s="22"/>
      <c r="F39" s="22"/>
      <c r="G39" s="22"/>
      <c r="H39" s="22"/>
      <c r="I39" s="22"/>
      <c r="J39" s="143"/>
      <c r="K39" s="197"/>
    </row>
    <row r="40" spans="1:11" ht="15" customHeight="1">
      <c r="A40" s="140"/>
      <c r="B40" s="22"/>
      <c r="C40" s="22"/>
      <c r="D40" s="22"/>
      <c r="E40" s="176" t="str">
        <f>CONCATENATE("",'Design Data'!F14," ft.")</f>
        <v>0.5 ft.</v>
      </c>
      <c r="F40" s="22"/>
      <c r="G40" s="22"/>
      <c r="H40" s="22"/>
      <c r="I40" s="22"/>
      <c r="J40" s="143"/>
      <c r="K40" s="197"/>
    </row>
    <row r="41" spans="1:11" ht="15">
      <c r="A41" s="356" t="s">
        <v>326</v>
      </c>
      <c r="B41" s="22"/>
      <c r="C41" s="108"/>
      <c r="D41" s="22"/>
      <c r="E41" s="22"/>
      <c r="F41" s="22"/>
      <c r="G41" s="108" t="str">
        <f>CONCATENATE("           ",IF(Calculations!D38&gt;Calculations!C67,ROUND(Calculations!D38,2),ROUND(Calculations!C67,2))," ft.")</f>
        <v>           0.77 ft.</v>
      </c>
      <c r="H41" s="22"/>
      <c r="I41" s="54" t="s">
        <v>164</v>
      </c>
      <c r="J41" s="143"/>
      <c r="K41" s="197"/>
    </row>
    <row r="42" spans="1:11" ht="15">
      <c r="A42" s="369" t="str">
        <f>VLOOKUP($C$9,$L$13:$M$17,2)</f>
        <v>DOT Light riprap Gradation</v>
      </c>
      <c r="B42" s="177"/>
      <c r="C42" s="22"/>
      <c r="D42" s="22"/>
      <c r="E42" s="22"/>
      <c r="F42" s="177" t="str">
        <f>CONCATENATE(" ",ROUND(mc,1),"")</f>
        <v> 2</v>
      </c>
      <c r="G42" s="29"/>
      <c r="H42" s="22"/>
      <c r="I42" s="54" t="s">
        <v>137</v>
      </c>
      <c r="J42" s="143"/>
      <c r="K42" s="197"/>
    </row>
    <row r="43" spans="1:11" ht="15.75" thickBot="1">
      <c r="A43" s="140"/>
      <c r="B43" s="22"/>
      <c r="C43" s="108"/>
      <c r="D43" s="22"/>
      <c r="E43" s="22"/>
      <c r="F43" s="154"/>
      <c r="G43" s="22"/>
      <c r="H43" s="22"/>
      <c r="I43" s="22"/>
      <c r="J43" s="143"/>
      <c r="K43" s="197"/>
    </row>
    <row r="44" spans="1:11" ht="15.75" thickTop="1">
      <c r="A44" s="140"/>
      <c r="B44" s="425" t="s">
        <v>134</v>
      </c>
      <c r="C44" s="458"/>
      <c r="D44" s="459"/>
      <c r="E44" s="22"/>
      <c r="F44" s="22"/>
      <c r="G44" s="178" t="str">
        <f>CONCATENATE("",ROUND(Bwc,0)," ft.")</f>
        <v>50 ft.</v>
      </c>
      <c r="H44" s="20"/>
      <c r="I44" s="176" t="str">
        <f>CONCATENATE("",C10," in.")</f>
        <v> in.</v>
      </c>
      <c r="J44" s="143"/>
      <c r="K44" s="197"/>
    </row>
    <row r="45" spans="1:11" ht="15">
      <c r="A45" s="140"/>
      <c r="B45" s="159" t="s">
        <v>115</v>
      </c>
      <c r="C45" s="160" t="s">
        <v>116</v>
      </c>
      <c r="D45" s="161" t="s">
        <v>114</v>
      </c>
      <c r="E45" s="22"/>
      <c r="F45" s="22"/>
      <c r="G45" s="22"/>
      <c r="H45" s="22"/>
      <c r="I45" s="22"/>
      <c r="J45" s="143"/>
      <c r="K45" s="197"/>
    </row>
    <row r="46" spans="1:11" ht="16.5" customHeight="1">
      <c r="A46" s="140"/>
      <c r="B46" s="157" t="s">
        <v>135</v>
      </c>
      <c r="C46" s="172">
        <v>10</v>
      </c>
      <c r="D46" s="329">
        <f>$I$9*C46</f>
        <v>0</v>
      </c>
      <c r="E46" s="22"/>
      <c r="F46" s="22"/>
      <c r="G46" s="178" t="str">
        <f>CONCATENATE("B' = ",ROUND(Bwc+(C10+E14)/(12*mc),1)," ft.")</f>
        <v>B' = 50 ft.</v>
      </c>
      <c r="H46" s="22"/>
      <c r="I46" s="22"/>
      <c r="J46" s="143"/>
      <c r="K46" s="197"/>
    </row>
    <row r="47" spans="1:11" ht="15" customHeight="1">
      <c r="A47" s="140"/>
      <c r="B47" s="157" t="s">
        <v>136</v>
      </c>
      <c r="C47" s="172">
        <v>12</v>
      </c>
      <c r="D47" s="329">
        <f>$I$10*C47</f>
        <v>2844</v>
      </c>
      <c r="E47" s="22"/>
      <c r="F47" s="22"/>
      <c r="G47" s="152" t="s">
        <v>109</v>
      </c>
      <c r="H47" s="22"/>
      <c r="I47" s="22"/>
      <c r="J47" s="143"/>
      <c r="K47" s="197"/>
    </row>
    <row r="48" spans="1:12" ht="15" customHeight="1">
      <c r="A48" s="140"/>
      <c r="B48" s="157" t="s">
        <v>137</v>
      </c>
      <c r="C48" s="172">
        <v>12</v>
      </c>
      <c r="D48" s="329">
        <f>$I$11*C48</f>
        <v>0</v>
      </c>
      <c r="E48" s="22"/>
      <c r="F48" s="525" t="s">
        <v>141</v>
      </c>
      <c r="G48" s="526"/>
      <c r="H48" s="526"/>
      <c r="I48" s="526"/>
      <c r="J48" s="527"/>
      <c r="K48" s="197"/>
      <c r="L48" s="426"/>
    </row>
    <row r="49" spans="1:11" ht="15" customHeight="1">
      <c r="A49" s="140"/>
      <c r="B49" s="157" t="s">
        <v>138</v>
      </c>
      <c r="C49" s="172">
        <v>12</v>
      </c>
      <c r="D49" s="329">
        <f>$I$12*C49</f>
        <v>0</v>
      </c>
      <c r="E49" s="22"/>
      <c r="F49" s="528"/>
      <c r="G49" s="528"/>
      <c r="H49" s="528"/>
      <c r="I49" s="528"/>
      <c r="J49" s="527"/>
      <c r="K49" s="197"/>
    </row>
    <row r="50" spans="1:13" ht="15" customHeight="1">
      <c r="A50" s="140"/>
      <c r="B50" s="157" t="s">
        <v>139</v>
      </c>
      <c r="C50" s="172">
        <v>1</v>
      </c>
      <c r="D50" s="329">
        <f>$I$13*C50</f>
        <v>0</v>
      </c>
      <c r="E50" s="22"/>
      <c r="F50" s="451"/>
      <c r="G50" s="549"/>
      <c r="H50" s="549"/>
      <c r="I50" s="550"/>
      <c r="J50" s="460"/>
      <c r="K50" s="197"/>
      <c r="L50" s="540"/>
      <c r="M50" s="540"/>
    </row>
    <row r="51" spans="1:11" ht="15">
      <c r="A51" s="140"/>
      <c r="B51" s="157" t="s">
        <v>140</v>
      </c>
      <c r="C51" s="172">
        <v>2</v>
      </c>
      <c r="D51" s="329">
        <f>$I$14*C51</f>
        <v>0</v>
      </c>
      <c r="E51" s="22"/>
      <c r="F51" s="451"/>
      <c r="G51" s="146"/>
      <c r="H51" s="453"/>
      <c r="I51" s="22"/>
      <c r="J51" s="460"/>
      <c r="K51" s="197"/>
    </row>
    <row r="52" spans="1:11" ht="14.25" customHeight="1" thickBot="1">
      <c r="A52" s="140"/>
      <c r="B52" s="156"/>
      <c r="C52" s="158" t="s">
        <v>117</v>
      </c>
      <c r="D52" s="330">
        <f>SUM(D46:D51)</f>
        <v>2844</v>
      </c>
      <c r="E52" s="22"/>
      <c r="F52" s="454"/>
      <c r="G52" s="452"/>
      <c r="H52" s="452"/>
      <c r="I52" s="452"/>
      <c r="J52" s="461"/>
      <c r="K52" s="197"/>
    </row>
    <row r="53" spans="1:11" ht="14.25" customHeight="1" thickBot="1" thickTop="1">
      <c r="A53" s="140"/>
      <c r="B53" s="22"/>
      <c r="C53" s="22"/>
      <c r="D53" s="22"/>
      <c r="E53" s="22"/>
      <c r="F53" s="452"/>
      <c r="G53" s="452"/>
      <c r="H53" s="452"/>
      <c r="I53" s="452"/>
      <c r="J53" s="462"/>
      <c r="K53" s="197"/>
    </row>
    <row r="54" spans="1:10" ht="15" customHeight="1">
      <c r="A54" s="433"/>
      <c r="B54" s="434"/>
      <c r="C54" s="435"/>
      <c r="D54" s="436"/>
      <c r="E54" s="436"/>
      <c r="F54" s="437"/>
      <c r="G54" s="437"/>
      <c r="H54" s="438"/>
      <c r="I54" s="455" t="s">
        <v>405</v>
      </c>
      <c r="J54" s="439" t="s">
        <v>406</v>
      </c>
    </row>
    <row r="55" spans="1:10" ht="15">
      <c r="A55" s="427"/>
      <c r="B55" s="428"/>
      <c r="C55" s="440"/>
      <c r="D55" t="str">
        <f>'Design Data'!C4</f>
        <v>Sample project</v>
      </c>
      <c r="E55" s="429"/>
      <c r="F55" s="430"/>
      <c r="G55" s="430"/>
      <c r="H55" s="530" t="str">
        <f>CONCATENATE("                            ",'Design Data'!C5)</f>
        <v>                            sam</v>
      </c>
      <c r="I55" s="531"/>
      <c r="J55" s="441"/>
    </row>
    <row r="56" spans="1:10" ht="15">
      <c r="A56" s="427"/>
      <c r="B56" s="428"/>
      <c r="C56" s="440"/>
      <c r="D56" s="429"/>
      <c r="E56" s="429"/>
      <c r="F56" s="430"/>
      <c r="G56" s="430"/>
      <c r="H56" s="541" t="s">
        <v>407</v>
      </c>
      <c r="I56" s="542"/>
      <c r="J56" s="442" t="s">
        <v>408</v>
      </c>
    </row>
    <row r="57" spans="1:10" ht="15">
      <c r="A57" s="427"/>
      <c r="B57" s="428"/>
      <c r="C57" s="440"/>
      <c r="D57" s="426" t="str">
        <f>CONCATENATE("",'Design Data'!H4," County")</f>
        <v>anywhere County</v>
      </c>
      <c r="E57" s="429"/>
      <c r="F57" s="430"/>
      <c r="G57" s="430"/>
      <c r="H57" s="536" t="s">
        <v>409</v>
      </c>
      <c r="I57" s="537"/>
      <c r="J57" s="443"/>
    </row>
    <row r="58" spans="1:10" ht="15.75" thickBot="1">
      <c r="A58" s="444"/>
      <c r="B58" s="445"/>
      <c r="C58" s="446"/>
      <c r="D58" s="447"/>
      <c r="E58" s="447"/>
      <c r="F58" s="448"/>
      <c r="G58" s="448"/>
      <c r="H58" s="538" t="s">
        <v>410</v>
      </c>
      <c r="I58" s="539"/>
      <c r="J58" s="449" t="s">
        <v>411</v>
      </c>
    </row>
    <row r="59" spans="4:11" ht="13.5" customHeight="1">
      <c r="D59" s="450"/>
      <c r="E59" s="450"/>
      <c r="F59" s="62"/>
      <c r="G59" s="12"/>
      <c r="H59" s="62"/>
      <c r="I59" s="12"/>
      <c r="J59" s="12"/>
      <c r="K59" s="197"/>
    </row>
    <row r="60" spans="4:11" ht="13.5" customHeight="1" hidden="1">
      <c r="D60" s="450"/>
      <c r="E60" s="450"/>
      <c r="F60" s="62"/>
      <c r="G60" s="12"/>
      <c r="H60" s="62"/>
      <c r="I60" s="62"/>
      <c r="J60" s="12"/>
      <c r="K60" s="197"/>
    </row>
    <row r="61" spans="4:11" ht="13.5" customHeight="1" hidden="1">
      <c r="D61" s="450"/>
      <c r="E61" s="450"/>
      <c r="F61" s="62"/>
      <c r="G61" s="12"/>
      <c r="H61" s="62"/>
      <c r="I61" s="508"/>
      <c r="J61" s="508"/>
      <c r="K61" s="197"/>
    </row>
    <row r="62" spans="4:11" ht="13.5" customHeight="1" hidden="1">
      <c r="D62" s="450"/>
      <c r="E62" s="450"/>
      <c r="F62" s="62"/>
      <c r="G62" s="12"/>
      <c r="H62" s="62"/>
      <c r="I62" s="508"/>
      <c r="J62" s="508"/>
      <c r="K62" s="197"/>
    </row>
    <row r="63" spans="1:11" ht="15" customHeight="1" hidden="1">
      <c r="A63" s="427"/>
      <c r="B63" s="428"/>
      <c r="C63" s="429"/>
      <c r="D63" s="429"/>
      <c r="E63" s="429"/>
      <c r="F63" s="430"/>
      <c r="G63" s="430"/>
      <c r="H63" s="430"/>
      <c r="I63" s="431"/>
      <c r="J63" s="432"/>
      <c r="K63" s="197"/>
    </row>
    <row r="64" ht="0" customHeight="1" hidden="1"/>
    <row r="65" ht="0" customHeight="1" hidden="1"/>
    <row r="66" ht="0" customHeight="1" hidden="1"/>
    <row r="67" ht="0" customHeight="1" hidden="1"/>
    <row r="68" ht="0" customHeight="1" hidden="1"/>
    <row r="69" ht="14.25" hidden="1"/>
    <row r="70" spans="1:5" ht="14.25" hidden="1">
      <c r="A70" s="119"/>
      <c r="B70" s="119"/>
      <c r="C70" s="119"/>
      <c r="D70" s="119"/>
      <c r="E70" s="119"/>
    </row>
  </sheetData>
  <sheetProtection password="CB73" sheet="1" objects="1" scenarios="1"/>
  <mergeCells count="30">
    <mergeCell ref="H4:I4"/>
    <mergeCell ref="C5:E5"/>
    <mergeCell ref="G50:I50"/>
    <mergeCell ref="B21:C22"/>
    <mergeCell ref="A27:B27"/>
    <mergeCell ref="C16:F16"/>
    <mergeCell ref="C17:F17"/>
    <mergeCell ref="C18:F18"/>
    <mergeCell ref="E9:F9"/>
    <mergeCell ref="E11:F11"/>
    <mergeCell ref="H57:I57"/>
    <mergeCell ref="H58:I58"/>
    <mergeCell ref="L50:M50"/>
    <mergeCell ref="H56:I56"/>
    <mergeCell ref="I61:J62"/>
    <mergeCell ref="A1:J1"/>
    <mergeCell ref="A2:J3"/>
    <mergeCell ref="A4:A6"/>
    <mergeCell ref="C4:E4"/>
    <mergeCell ref="F4:F6"/>
    <mergeCell ref="H5:I5"/>
    <mergeCell ref="I29:J30"/>
    <mergeCell ref="F48:J49"/>
    <mergeCell ref="E12:F12"/>
    <mergeCell ref="E10:F10"/>
    <mergeCell ref="H55:I55"/>
    <mergeCell ref="D6:E6"/>
    <mergeCell ref="D8:F8"/>
    <mergeCell ref="H8:I8"/>
    <mergeCell ref="E13:F13"/>
  </mergeCells>
  <dataValidations count="8">
    <dataValidation type="decimal" operator="greaterThanOrEqual" allowBlank="1" showInputMessage="1" showErrorMessage="1" error="Entry must be greater than&#10;2 X D50 used" sqref="L2">
      <formula1>2*$C$9</formula1>
    </dataValidation>
    <dataValidation type="decimal" operator="greaterThanOrEqual" allowBlank="1" showInputMessage="1" showErrorMessage="1" error="D50 needs to larger than&#10;content of cell A9" sqref="L1">
      <formula1>$A$9</formula1>
    </dataValidation>
    <dataValidation type="decimal" operator="greaterThanOrEqual" allowBlank="1" showInputMessage="1" showErrorMessage="1" error="Outlet apron needs to larger than&#10;content of cell A12&#10;" sqref="L4">
      <formula1>$A$12</formula1>
    </dataValidation>
    <dataValidation type="decimal" operator="greaterThanOrEqual" allowBlank="1" showInputMessage="1" showErrorMessage="1" error="Inlet length needs to larger than the&#10;greater of the content &#10;of cell A11 or 10 feet" sqref="L3">
      <formula1>MAX($A$11:$A$11,10)</formula1>
    </dataValidation>
    <dataValidation type="decimal" operator="greaterThanOrEqual" allowBlank="1" showInputMessage="1" showErrorMessage="1" prompt="Enter the D50 for the project&#10;" error="D50 needs to larger than&#10;content of cell A9" sqref="C9">
      <formula1>$A$9</formula1>
    </dataValidation>
    <dataValidation type="decimal" operator="greaterThanOrEqual" allowBlank="1" showInputMessage="1" showErrorMessage="1" prompt="Enter the rock thickness for the project" error="Entry must be greater than&#10;2 X D50 used" sqref="C10">
      <formula1>2*$C$9</formula1>
    </dataValidation>
    <dataValidation type="decimal" operator="greaterThanOrEqual" allowBlank="1" showInputMessage="1" showErrorMessage="1" prompt="Enter the inlet apron length" error="Inlet length needs to larger than the&#10;greater of the content &#10;of cell A11 or 10 feet" sqref="C11">
      <formula1>MAX($A$11:$A$11,10)</formula1>
    </dataValidation>
    <dataValidation type="decimal" operator="greaterThanOrEqual" allowBlank="1" showInputMessage="1" showErrorMessage="1" prompt="Enter the outlet apron length" error="Outlet apron needs to larger than&#10;content of cell A12&#10;" sqref="C12">
      <formula1>$A$12</formula1>
    </dataValidation>
  </dataValidations>
  <printOptions/>
  <pageMargins left="0.75" right="0.5" top="0.66" bottom="0.5" header="0.46" footer="0.5"/>
  <pageSetup fitToHeight="0" fitToWidth="1" horizontalDpi="600" verticalDpi="600" orientation="portrait" scale="69" r:id="rId3"/>
  <headerFooter alignWithMargins="0">
    <oddFooter>&amp;CPage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J54"/>
  <sheetViews>
    <sheetView zoomScalePageLayoutView="0" workbookViewId="0" topLeftCell="A1">
      <selection activeCell="D23" sqref="D23"/>
    </sheetView>
  </sheetViews>
  <sheetFormatPr defaultColWidth="0" defaultRowHeight="14.25"/>
  <cols>
    <col min="1" max="1" width="7.625" style="0" customWidth="1"/>
    <col min="2" max="4" width="12.625" style="0" customWidth="1"/>
    <col min="5" max="5" width="13.625" style="0" customWidth="1"/>
    <col min="6" max="9" width="12.625" style="0" customWidth="1"/>
    <col min="10" max="10" width="5.625" style="0" customWidth="1"/>
    <col min="11" max="11" width="9.00390625" style="0" customWidth="1"/>
    <col min="12" max="255" width="0" style="0" hidden="1" customWidth="1"/>
    <col min="256" max="16384" width="12.625" style="0" hidden="1" customWidth="1"/>
  </cols>
  <sheetData>
    <row r="1" spans="1:10" ht="26.25">
      <c r="A1" s="503" t="s">
        <v>22</v>
      </c>
      <c r="B1" s="504"/>
      <c r="C1" s="504"/>
      <c r="D1" s="504"/>
      <c r="E1" s="504"/>
      <c r="F1" s="504"/>
      <c r="G1" s="504"/>
      <c r="H1" s="504"/>
      <c r="I1" s="504"/>
      <c r="J1" s="504"/>
    </row>
    <row r="2" spans="1:10" ht="14.25">
      <c r="A2" s="507" t="str">
        <f>'Design Data'!A2:J3</f>
        <v>(Version WI-July-2010, Based on Design of Rock Chutes by Robinson, Rice, Kadavy, ASAE, 1998)</v>
      </c>
      <c r="B2" s="507"/>
      <c r="C2" s="507"/>
      <c r="D2" s="507"/>
      <c r="E2" s="507"/>
      <c r="F2" s="507"/>
      <c r="G2" s="507"/>
      <c r="H2" s="507"/>
      <c r="I2" s="507"/>
      <c r="J2" s="507"/>
    </row>
    <row r="3" spans="1:10" ht="14.25" customHeight="1">
      <c r="A3" s="508"/>
      <c r="B3" s="508"/>
      <c r="C3" s="508"/>
      <c r="D3" s="508"/>
      <c r="E3" s="508"/>
      <c r="F3" s="508"/>
      <c r="G3" s="508"/>
      <c r="H3" s="508"/>
      <c r="I3" s="508"/>
      <c r="J3" s="508"/>
    </row>
    <row r="4" spans="1:10" ht="15.75">
      <c r="A4" s="508"/>
      <c r="B4" s="15" t="s">
        <v>29</v>
      </c>
      <c r="C4" s="543" t="str">
        <f>'Design Data'!C4</f>
        <v>Sample project</v>
      </c>
      <c r="D4" s="544"/>
      <c r="E4" s="544"/>
      <c r="F4" s="545"/>
      <c r="G4" s="15" t="s">
        <v>104</v>
      </c>
      <c r="H4" s="543" t="str">
        <f>'Design Data'!H4</f>
        <v>anywhere</v>
      </c>
      <c r="I4" s="546"/>
      <c r="J4" s="60"/>
    </row>
    <row r="5" spans="1:10" ht="15.75" customHeight="1">
      <c r="A5" s="508"/>
      <c r="B5" s="15" t="s">
        <v>30</v>
      </c>
      <c r="C5" s="547" t="str">
        <f>'Design Data'!C5</f>
        <v>sam</v>
      </c>
      <c r="D5" s="548"/>
      <c r="E5" s="548"/>
      <c r="F5" s="545"/>
      <c r="G5" s="15" t="s">
        <v>56</v>
      </c>
      <c r="H5" s="522"/>
      <c r="I5" s="523"/>
      <c r="J5" s="60"/>
    </row>
    <row r="6" spans="1:10" ht="15.75" customHeight="1">
      <c r="A6" s="508"/>
      <c r="B6" s="15" t="s">
        <v>31</v>
      </c>
      <c r="C6" s="165">
        <f>'Design Data'!C6</f>
        <v>38892</v>
      </c>
      <c r="D6" s="532"/>
      <c r="E6" s="532"/>
      <c r="F6" s="545"/>
      <c r="G6" s="15" t="s">
        <v>57</v>
      </c>
      <c r="H6" s="198"/>
      <c r="I6" s="199"/>
      <c r="J6" s="60"/>
    </row>
    <row r="7" spans="1:10" ht="16.5" customHeight="1" thickBot="1">
      <c r="A7" s="197"/>
      <c r="B7" s="197"/>
      <c r="C7" s="197"/>
      <c r="D7" s="197"/>
      <c r="E7" s="197"/>
      <c r="F7" s="197"/>
      <c r="G7" s="197"/>
      <c r="H7" s="197"/>
      <c r="I7" s="197"/>
      <c r="J7" s="197"/>
    </row>
    <row r="8" spans="1:10" ht="19.5" customHeight="1" thickTop="1">
      <c r="A8" s="575" t="s">
        <v>105</v>
      </c>
      <c r="B8" s="576"/>
      <c r="C8" s="576"/>
      <c r="D8" s="568" t="s">
        <v>6</v>
      </c>
      <c r="E8" s="576"/>
      <c r="F8" s="576"/>
      <c r="G8" s="201"/>
      <c r="H8" s="568" t="s">
        <v>272</v>
      </c>
      <c r="I8" s="569"/>
      <c r="J8" s="202"/>
    </row>
    <row r="9" spans="1:10" ht="19.5" customHeight="1">
      <c r="A9" s="203"/>
      <c r="B9" s="204" t="s">
        <v>324</v>
      </c>
      <c r="C9" s="205">
        <f>'Plan Sheet'!C9</f>
        <v>0</v>
      </c>
      <c r="D9" s="307" t="s">
        <v>0</v>
      </c>
      <c r="E9" s="570" t="s">
        <v>1</v>
      </c>
      <c r="F9" s="570"/>
      <c r="G9" s="207"/>
      <c r="H9" s="204" t="s">
        <v>323</v>
      </c>
      <c r="I9" s="209" t="str">
        <f>'Plan Sheet'!I9</f>
        <v>0</v>
      </c>
      <c r="J9" s="210"/>
    </row>
    <row r="10" spans="1:10" ht="19.5" customHeight="1">
      <c r="A10" s="211"/>
      <c r="B10" s="204" t="s">
        <v>133</v>
      </c>
      <c r="C10" s="205">
        <f>'Plan Sheet'!C10</f>
        <v>0</v>
      </c>
      <c r="D10" s="308" t="s">
        <v>2</v>
      </c>
      <c r="E10" s="572" t="str">
        <f>'Plan Sheet'!E10</f>
        <v>0 - 0 (0 - 0)</v>
      </c>
      <c r="F10" s="572"/>
      <c r="G10" s="207"/>
      <c r="H10" s="204" t="s">
        <v>304</v>
      </c>
      <c r="I10" s="209">
        <f>'Plan Sheet'!I10</f>
        <v>237</v>
      </c>
      <c r="J10" s="210"/>
    </row>
    <row r="11" spans="1:10" ht="19.5" customHeight="1">
      <c r="A11" s="211"/>
      <c r="B11" s="204" t="s">
        <v>106</v>
      </c>
      <c r="C11" s="209">
        <f>'Plan Sheet'!C11</f>
        <v>0</v>
      </c>
      <c r="D11" s="308" t="s">
        <v>3</v>
      </c>
      <c r="E11" s="572" t="str">
        <f>'Plan Sheet'!E11</f>
        <v>0 - 0 (0 - 0)</v>
      </c>
      <c r="F11" s="572"/>
      <c r="G11" s="207"/>
      <c r="H11" s="204" t="str">
        <f>'Plan Sheet'!H11</f>
        <v>Bedding =</v>
      </c>
      <c r="I11" s="209">
        <f>'Plan Sheet'!I11</f>
        <v>0</v>
      </c>
      <c r="J11" s="210"/>
    </row>
    <row r="12" spans="1:10" ht="19.5" customHeight="1">
      <c r="A12" s="211"/>
      <c r="B12" s="204" t="s">
        <v>107</v>
      </c>
      <c r="C12" s="209">
        <f>'Plan Sheet'!C12</f>
        <v>0</v>
      </c>
      <c r="D12" s="308" t="s">
        <v>4</v>
      </c>
      <c r="E12" s="572" t="str">
        <f>'Plan Sheet'!E12</f>
        <v>0 - 0 (0 - 0)</v>
      </c>
      <c r="F12" s="572"/>
      <c r="G12" s="207"/>
      <c r="H12" s="204" t="s">
        <v>165</v>
      </c>
      <c r="I12" s="209">
        <f>'Plan Sheet'!I12</f>
        <v>0</v>
      </c>
      <c r="J12" s="210"/>
    </row>
    <row r="13" spans="1:10" ht="19.5" customHeight="1">
      <c r="A13" s="211"/>
      <c r="B13" s="204" t="s">
        <v>113</v>
      </c>
      <c r="C13" s="209">
        <f>'Plan Sheet'!C13</f>
        <v>0</v>
      </c>
      <c r="D13" s="308" t="s">
        <v>5</v>
      </c>
      <c r="E13" s="572" t="str">
        <f>'Plan Sheet'!E13</f>
        <v>0 - 0 (0 - 0)</v>
      </c>
      <c r="F13" s="572"/>
      <c r="G13" s="207"/>
      <c r="H13" s="204" t="s">
        <v>166</v>
      </c>
      <c r="I13" s="209">
        <f>'Plan Sheet'!I13</f>
        <v>0</v>
      </c>
      <c r="J13" s="210"/>
    </row>
    <row r="14" spans="1:10" ht="19.5" customHeight="1">
      <c r="A14" s="211"/>
      <c r="B14" s="204" t="s">
        <v>110</v>
      </c>
      <c r="C14" s="205" t="str">
        <f>IF('Plan Sheet'!C14="No","No","Yes")</f>
        <v>No</v>
      </c>
      <c r="D14" s="573" t="s">
        <v>290</v>
      </c>
      <c r="E14" s="574"/>
      <c r="F14" s="574"/>
      <c r="G14" s="214"/>
      <c r="H14" s="204" t="s">
        <v>129</v>
      </c>
      <c r="I14" s="205">
        <f>'Plan Sheet'!I14</f>
        <v>0</v>
      </c>
      <c r="J14" s="210"/>
    </row>
    <row r="15" spans="1:10" ht="9" customHeight="1">
      <c r="A15" s="211"/>
      <c r="B15" s="204"/>
      <c r="C15" s="206"/>
      <c r="D15" s="212"/>
      <c r="E15" s="213"/>
      <c r="F15" s="213"/>
      <c r="G15" s="214"/>
      <c r="H15" s="204"/>
      <c r="I15" s="205"/>
      <c r="J15" s="210"/>
    </row>
    <row r="16" spans="1:10" ht="19.5" customHeight="1">
      <c r="A16" s="211"/>
      <c r="B16" s="208" t="s">
        <v>130</v>
      </c>
      <c r="C16" s="215" t="s">
        <v>280</v>
      </c>
      <c r="D16" s="197"/>
      <c r="E16" s="197"/>
      <c r="F16" s="197"/>
      <c r="G16" s="212"/>
      <c r="H16" s="216"/>
      <c r="I16" s="216"/>
      <c r="J16" s="217"/>
    </row>
    <row r="17" spans="1:10" ht="19.5" customHeight="1">
      <c r="A17" s="203"/>
      <c r="B17" s="206"/>
      <c r="C17" s="215" t="s">
        <v>418</v>
      </c>
      <c r="D17" s="197"/>
      <c r="E17" s="197"/>
      <c r="F17" s="197"/>
      <c r="G17" s="218"/>
      <c r="H17" s="218"/>
      <c r="I17" s="218"/>
      <c r="J17" s="217"/>
    </row>
    <row r="18" spans="1:10" ht="15" customHeight="1">
      <c r="A18" s="203"/>
      <c r="B18" s="219"/>
      <c r="C18" s="286" t="s">
        <v>282</v>
      </c>
      <c r="D18" s="197"/>
      <c r="E18" s="197"/>
      <c r="F18" s="197"/>
      <c r="G18" s="188"/>
      <c r="H18" s="220"/>
      <c r="I18" s="221"/>
      <c r="J18" s="210"/>
    </row>
    <row r="19" spans="1:10" ht="16.5" customHeight="1">
      <c r="A19" s="211"/>
      <c r="B19" s="195"/>
      <c r="C19" s="222"/>
      <c r="D19" s="206"/>
      <c r="E19" s="197"/>
      <c r="F19" s="197"/>
      <c r="G19" s="300"/>
      <c r="H19" s="220"/>
      <c r="I19" s="221"/>
      <c r="J19" s="210"/>
    </row>
    <row r="20" spans="1:10" ht="16.5" customHeight="1">
      <c r="A20" s="211"/>
      <c r="B20" s="195"/>
      <c r="C20" s="195"/>
      <c r="D20" s="195"/>
      <c r="E20" s="204" t="s">
        <v>108</v>
      </c>
      <c r="F20" s="205" t="str">
        <f>'Plan Sheet'!F20</f>
        <v> 100 ft.</v>
      </c>
      <c r="G20" s="296" t="s">
        <v>281</v>
      </c>
      <c r="H20" s="297" t="s">
        <v>265</v>
      </c>
      <c r="I20" s="297"/>
      <c r="J20" s="210"/>
    </row>
    <row r="21" spans="1:10" ht="16.5" customHeight="1">
      <c r="A21" s="211"/>
      <c r="B21" s="571" t="str">
        <f>'Plan Sheet'!B21</f>
        <v>   Slope = 0.02 ft./ft.</v>
      </c>
      <c r="C21" s="571"/>
      <c r="D21" s="195"/>
      <c r="E21" s="193"/>
      <c r="F21" s="193"/>
      <c r="G21" s="294">
        <v>2</v>
      </c>
      <c r="H21" s="220" t="s">
        <v>269</v>
      </c>
      <c r="I21" s="220"/>
      <c r="J21" s="210"/>
    </row>
    <row r="22" spans="1:10" ht="16.5" customHeight="1">
      <c r="A22" s="211"/>
      <c r="B22" s="571"/>
      <c r="C22" s="571"/>
      <c r="D22" s="195" t="s">
        <v>111</v>
      </c>
      <c r="E22" s="195"/>
      <c r="F22" s="188" t="str">
        <f>'Plan Sheet'!F22</f>
        <v>0 in.</v>
      </c>
      <c r="G22" s="295">
        <v>3</v>
      </c>
      <c r="H22" s="220" t="s">
        <v>268</v>
      </c>
      <c r="I22" s="220"/>
      <c r="J22" s="210"/>
    </row>
    <row r="23" spans="1:10" ht="16.5" customHeight="1">
      <c r="A23" s="211"/>
      <c r="B23" s="195"/>
      <c r="C23" s="195"/>
      <c r="D23" s="223" t="str">
        <f>'Plan Sheet'!D23</f>
        <v>0 ft.</v>
      </c>
      <c r="E23" s="219"/>
      <c r="F23" s="214"/>
      <c r="G23" s="294">
        <v>4</v>
      </c>
      <c r="H23" s="220" t="s">
        <v>270</v>
      </c>
      <c r="I23" s="220"/>
      <c r="J23" s="210"/>
    </row>
    <row r="24" spans="1:10" ht="16.5" customHeight="1">
      <c r="A24" s="559" t="s">
        <v>7</v>
      </c>
      <c r="B24" s="560"/>
      <c r="C24" s="195"/>
      <c r="D24" s="195"/>
      <c r="E24" s="195"/>
      <c r="F24" s="193"/>
      <c r="G24" s="93" t="s">
        <v>267</v>
      </c>
      <c r="H24" s="480">
        <f>ATAN(1/F30)*180/PI()</f>
        <v>14.036243467926477</v>
      </c>
      <c r="I24" s="298">
        <f>SIN(ATAN(1/F30))*H25</f>
        <v>0</v>
      </c>
      <c r="J24" s="301">
        <f>C13*(1-COS(ATAN(1/F30/2)))</f>
        <v>0</v>
      </c>
    </row>
    <row r="25" spans="1:10" ht="15.75" customHeight="1">
      <c r="A25" s="309" t="s">
        <v>264</v>
      </c>
      <c r="B25" s="303" t="s">
        <v>271</v>
      </c>
      <c r="C25" s="195"/>
      <c r="D25" s="195"/>
      <c r="E25" s="195"/>
      <c r="F25" s="206"/>
      <c r="G25" s="299" t="s">
        <v>266</v>
      </c>
      <c r="H25" s="481">
        <f>'Plan Sheet'!C13*TAN(H24/2*PI()/180)</f>
        <v>0</v>
      </c>
      <c r="I25" s="298">
        <f>COS(ATAN(1/F30))*H25</f>
        <v>0</v>
      </c>
      <c r="J25" s="301"/>
    </row>
    <row r="26" spans="1:10" ht="15" customHeight="1">
      <c r="A26" s="467">
        <f>'Plan Sheet'!A29</f>
        <v>0</v>
      </c>
      <c r="B26" s="310" t="str">
        <f>CONCATENATE($F$20," (1)")</f>
        <v> 100 ft. (1)</v>
      </c>
      <c r="C26" s="204" t="s">
        <v>113</v>
      </c>
      <c r="D26" s="224" t="str">
        <f>CONCATENATE("",C13," ft.")</f>
        <v>0 ft.</v>
      </c>
      <c r="E26" s="195"/>
      <c r="F26" s="206" t="s">
        <v>119</v>
      </c>
      <c r="G26" s="193"/>
      <c r="H26" s="225"/>
      <c r="I26" s="195"/>
      <c r="J26" s="210"/>
    </row>
    <row r="27" spans="1:10" ht="15.75" customHeight="1">
      <c r="A27" s="467">
        <f>'Plan Sheet'!A30</f>
        <v>0</v>
      </c>
      <c r="B27" s="310" t="str">
        <f>CONCATENATE($F$20," (2)")</f>
        <v> 100 ft. (2)</v>
      </c>
      <c r="C27" s="195"/>
      <c r="D27" s="195"/>
      <c r="E27" s="195"/>
      <c r="F27" s="204" t="s">
        <v>118</v>
      </c>
      <c r="G27" s="206" t="str">
        <f>'Plan Sheet'!G27</f>
        <v>91 ft.</v>
      </c>
      <c r="H27" s="195"/>
      <c r="I27" s="195"/>
      <c r="J27" s="210"/>
    </row>
    <row r="28" spans="1:10" ht="14.25" customHeight="1">
      <c r="A28" s="467">
        <f>'Plan Sheet'!A31</f>
        <v>0</v>
      </c>
      <c r="B28" s="310" t="str">
        <f>CONCATENATE(ROUND(Hd-Plan!$J$24,1)," ft. (3)")</f>
        <v>100 ft. (3)</v>
      </c>
      <c r="C28" s="195"/>
      <c r="D28" s="195"/>
      <c r="E28" s="195"/>
      <c r="F28" s="195"/>
      <c r="G28" s="195"/>
      <c r="H28" s="226"/>
      <c r="I28" s="195"/>
      <c r="J28" s="210"/>
    </row>
    <row r="29" spans="1:10" ht="14.25">
      <c r="A29" s="467">
        <f>'Plan Sheet'!A32</f>
        <v>0</v>
      </c>
      <c r="B29" s="310" t="str">
        <f>CONCATENATE(ROUND(Hd-Plan!$I$24,1)," ft. (4)")</f>
        <v>100 ft. (4)</v>
      </c>
      <c r="C29" s="195"/>
      <c r="D29" s="195"/>
      <c r="E29" s="195"/>
      <c r="F29" s="195"/>
      <c r="G29" s="227"/>
      <c r="H29" s="195"/>
      <c r="I29" s="564" t="str">
        <f>'Plan Sheet'!I29</f>
        <v>Slope = 0.01 ft./ft.</v>
      </c>
      <c r="J29" s="565"/>
    </row>
    <row r="30" spans="1:10" ht="15" customHeight="1">
      <c r="A30" s="467">
        <f>'Plan Sheet'!A33</f>
        <v>36</v>
      </c>
      <c r="B30" s="310" t="str">
        <f>CONCATENATE($G$27," (5)")</f>
        <v>91 ft. (5)</v>
      </c>
      <c r="C30" s="195"/>
      <c r="D30" s="195"/>
      <c r="E30" s="195"/>
      <c r="F30" s="228" t="str">
        <f>'Plan Sheet'!F30</f>
        <v>4        </v>
      </c>
      <c r="G30" s="195" t="s">
        <v>112</v>
      </c>
      <c r="H30" s="195"/>
      <c r="I30" s="564"/>
      <c r="J30" s="565"/>
    </row>
    <row r="31" spans="1:10" ht="15" customHeight="1">
      <c r="A31" s="467">
        <f>'Plan Sheet'!A34</f>
        <v>36</v>
      </c>
      <c r="B31" s="310" t="str">
        <f>CONCATENATE($G$27," (6)")</f>
        <v>91 ft. (6)</v>
      </c>
      <c r="C31" s="195"/>
      <c r="D31" s="195"/>
      <c r="E31" s="289" t="str">
        <f>'Plan Sheet'!E31</f>
        <v>36 ft.</v>
      </c>
      <c r="F31" s="195"/>
      <c r="G31" s="229" t="str">
        <f>'Plan Sheet'!G31</f>
        <v>0 ft.</v>
      </c>
      <c r="H31" s="204" t="s">
        <v>43</v>
      </c>
      <c r="I31" s="206" t="str">
        <f>'Plan Sheet'!I31</f>
        <v>1 ft.</v>
      </c>
      <c r="J31" s="210"/>
    </row>
    <row r="32" spans="1:10" ht="15" customHeight="1">
      <c r="A32" s="467">
        <f>'Plan Sheet'!A35</f>
        <v>38.5</v>
      </c>
      <c r="B32" s="311" t="str">
        <f>CONCATENATE(d+'Design Data'!$D$18," ft. (7)")</f>
        <v>92 ft. (7)</v>
      </c>
      <c r="C32" s="219"/>
      <c r="D32" s="219"/>
      <c r="E32" s="219"/>
      <c r="F32" s="219"/>
      <c r="G32" s="219"/>
      <c r="H32" s="219"/>
      <c r="I32" s="219"/>
      <c r="J32" s="217"/>
    </row>
    <row r="33" spans="1:10" ht="16.5" customHeight="1">
      <c r="A33" s="203"/>
      <c r="B33" s="219"/>
      <c r="C33" s="219"/>
      <c r="D33" s="219"/>
      <c r="E33" s="230" t="s">
        <v>131</v>
      </c>
      <c r="F33" s="231"/>
      <c r="G33" s="231"/>
      <c r="H33" s="206" t="s">
        <v>164</v>
      </c>
      <c r="J33" s="217"/>
    </row>
    <row r="34" spans="1:10" ht="16.5" customHeight="1">
      <c r="A34" s="203"/>
      <c r="B34" s="219"/>
      <c r="C34" s="219"/>
      <c r="D34" s="219"/>
      <c r="E34" s="230"/>
      <c r="F34" s="231"/>
      <c r="G34" s="231"/>
      <c r="H34" s="206" t="s">
        <v>137</v>
      </c>
      <c r="J34" s="217"/>
    </row>
    <row r="35" spans="1:10" ht="15">
      <c r="A35" s="203"/>
      <c r="B35" s="219"/>
      <c r="C35" s="219"/>
      <c r="D35" s="219"/>
      <c r="E35" s="219"/>
      <c r="F35" s="206"/>
      <c r="G35" s="195"/>
      <c r="H35" s="195"/>
      <c r="I35" s="195"/>
      <c r="J35" s="210"/>
    </row>
    <row r="36" spans="1:10" ht="14.25" customHeight="1">
      <c r="A36" s="211"/>
      <c r="B36" s="195"/>
      <c r="C36" s="195"/>
      <c r="D36" s="195"/>
      <c r="E36" s="195"/>
      <c r="F36" s="195"/>
      <c r="G36" s="195"/>
      <c r="H36" s="195"/>
      <c r="I36" s="195"/>
      <c r="J36" s="210"/>
    </row>
    <row r="37" spans="1:10" ht="15" customHeight="1">
      <c r="A37" s="211"/>
      <c r="B37" s="195"/>
      <c r="C37" s="204"/>
      <c r="D37" s="206"/>
      <c r="E37" s="195"/>
      <c r="F37" s="195"/>
      <c r="G37" s="204" t="str">
        <f>'Plan Sheet'!G37</f>
        <v>53 ft.</v>
      </c>
      <c r="H37" s="195"/>
      <c r="I37" s="195"/>
      <c r="J37" s="210"/>
    </row>
    <row r="38" spans="1:10" ht="14.25" customHeight="1">
      <c r="A38" s="211"/>
      <c r="B38" s="195"/>
      <c r="C38" s="195"/>
      <c r="D38" s="195"/>
      <c r="E38" s="195"/>
      <c r="F38" s="195"/>
      <c r="G38" s="195"/>
      <c r="H38" s="195"/>
      <c r="I38" s="195"/>
      <c r="J38" s="210"/>
    </row>
    <row r="39" spans="1:10" ht="14.25" customHeight="1">
      <c r="A39" s="211"/>
      <c r="B39" s="195"/>
      <c r="C39" s="195"/>
      <c r="D39" s="195"/>
      <c r="E39" s="195"/>
      <c r="F39" s="195"/>
      <c r="G39" s="195"/>
      <c r="H39" s="195"/>
      <c r="I39" s="195"/>
      <c r="J39" s="210"/>
    </row>
    <row r="40" spans="1:10" ht="15" customHeight="1">
      <c r="A40" s="211"/>
      <c r="B40" s="195"/>
      <c r="C40" s="195"/>
      <c r="D40" s="195"/>
      <c r="E40" s="204" t="str">
        <f>'Plan Sheet'!E40</f>
        <v>0.5 ft.</v>
      </c>
      <c r="F40" s="195"/>
      <c r="G40" s="195"/>
      <c r="H40" s="195"/>
      <c r="I40" s="195"/>
      <c r="J40" s="210"/>
    </row>
    <row r="41" spans="1:10" ht="15" customHeight="1">
      <c r="A41" s="211"/>
      <c r="B41" s="195"/>
      <c r="C41" s="206"/>
      <c r="D41" s="195"/>
      <c r="E41" s="195"/>
      <c r="F41" s="195"/>
      <c r="G41" s="206" t="str">
        <f>'Plan Sheet'!G41</f>
        <v>           0.77 ft.</v>
      </c>
      <c r="H41" s="195"/>
      <c r="I41" s="206" t="s">
        <v>164</v>
      </c>
      <c r="J41" s="210"/>
    </row>
    <row r="42" spans="1:10" ht="15" customHeight="1">
      <c r="A42" s="338" t="s">
        <v>308</v>
      </c>
      <c r="B42" s="339"/>
      <c r="C42" s="340"/>
      <c r="D42" s="340"/>
      <c r="E42" s="195"/>
      <c r="F42" s="228" t="str">
        <f>'Plan Sheet'!F42</f>
        <v> 2</v>
      </c>
      <c r="G42" s="224"/>
      <c r="H42" s="195"/>
      <c r="I42" s="206" t="s">
        <v>137</v>
      </c>
      <c r="J42" s="210"/>
    </row>
    <row r="43" spans="1:10" ht="15" customHeight="1">
      <c r="A43" s="357" t="str">
        <f>'Plan Sheet'!A41</f>
        <v>Rock gradation envelope can be met with </v>
      </c>
      <c r="B43" s="342"/>
      <c r="C43" s="343"/>
      <c r="D43" s="342"/>
      <c r="E43" s="195"/>
      <c r="F43" s="232"/>
      <c r="G43" s="195"/>
      <c r="H43" s="195"/>
      <c r="I43" s="195"/>
      <c r="J43" s="210"/>
    </row>
    <row r="44" spans="1:10" ht="15" customHeight="1">
      <c r="A44" s="357" t="str">
        <f>'Plan Sheet'!A42</f>
        <v>DOT Light riprap Gradation</v>
      </c>
      <c r="B44" s="342"/>
      <c r="C44" s="342"/>
      <c r="D44" s="342"/>
      <c r="E44" s="195"/>
      <c r="F44" s="195"/>
      <c r="G44" s="233" t="str">
        <f>'Plan Sheet'!G44</f>
        <v>50 ft.</v>
      </c>
      <c r="H44" s="225"/>
      <c r="I44" s="204" t="str">
        <f>'Plan Sheet'!I44</f>
        <v> in.</v>
      </c>
      <c r="J44" s="210"/>
    </row>
    <row r="45" spans="1:10" ht="14.25" customHeight="1">
      <c r="A45" s="341"/>
      <c r="B45" s="342"/>
      <c r="C45" s="342"/>
      <c r="D45" s="342"/>
      <c r="E45" s="195"/>
      <c r="F45" s="195"/>
      <c r="G45" s="195"/>
      <c r="H45" s="195"/>
      <c r="I45" s="195"/>
      <c r="J45" s="210"/>
    </row>
    <row r="46" spans="1:10" ht="16.5" customHeight="1">
      <c r="A46" s="341"/>
      <c r="B46" s="566"/>
      <c r="C46" s="567"/>
      <c r="D46" s="567"/>
      <c r="E46" s="219"/>
      <c r="F46" s="219"/>
      <c r="G46" t="str">
        <f>'Plan Sheet'!G46</f>
        <v>B' = 50 ft.</v>
      </c>
      <c r="H46" s="219"/>
      <c r="I46" s="219"/>
      <c r="J46" s="217"/>
    </row>
    <row r="47" spans="1:10" ht="16.5">
      <c r="A47" s="344"/>
      <c r="B47" s="345"/>
      <c r="C47" s="345"/>
      <c r="D47" s="345"/>
      <c r="E47" s="219"/>
      <c r="F47" s="219"/>
      <c r="G47" s="230" t="s">
        <v>109</v>
      </c>
      <c r="H47" s="219"/>
      <c r="I47" s="219"/>
      <c r="J47" s="217"/>
    </row>
    <row r="48" spans="1:10" ht="14.25">
      <c r="A48" s="344"/>
      <c r="B48" s="345"/>
      <c r="C48" s="345"/>
      <c r="D48" s="345"/>
      <c r="E48" s="219"/>
      <c r="F48" s="561" t="s">
        <v>141</v>
      </c>
      <c r="G48" s="562"/>
      <c r="H48" s="562"/>
      <c r="I48" s="562"/>
      <c r="J48" s="563"/>
    </row>
    <row r="49" spans="1:10" ht="15" customHeight="1" thickBot="1">
      <c r="A49" s="456"/>
      <c r="B49" s="457"/>
      <c r="C49" s="457"/>
      <c r="D49" s="457"/>
      <c r="E49" s="219"/>
      <c r="F49" s="561"/>
      <c r="G49" s="561"/>
      <c r="H49" s="561"/>
      <c r="I49" s="561"/>
      <c r="J49" s="563"/>
    </row>
    <row r="50" spans="1:10" ht="15" customHeight="1">
      <c r="A50" s="433"/>
      <c r="B50" s="434"/>
      <c r="C50" s="435"/>
      <c r="D50" s="436"/>
      <c r="E50" s="436"/>
      <c r="F50" s="437"/>
      <c r="G50" s="437"/>
      <c r="H50" s="438"/>
      <c r="I50" s="455" t="s">
        <v>405</v>
      </c>
      <c r="J50" s="439" t="s">
        <v>406</v>
      </c>
    </row>
    <row r="51" spans="1:10" ht="15" customHeight="1">
      <c r="A51" s="427"/>
      <c r="B51" s="428"/>
      <c r="C51" s="440"/>
      <c r="D51" t="str">
        <f>'Design Data'!C4</f>
        <v>Sample project</v>
      </c>
      <c r="E51" s="429"/>
      <c r="F51" s="430"/>
      <c r="G51" s="430"/>
      <c r="H51" s="530" t="str">
        <f>CONCATENATE("                            ",'Design Data'!C5)</f>
        <v>                            sam</v>
      </c>
      <c r="I51" s="531"/>
      <c r="J51" s="441"/>
    </row>
    <row r="52" spans="1:10" ht="15" customHeight="1">
      <c r="A52" s="427"/>
      <c r="B52" s="428"/>
      <c r="C52" s="440"/>
      <c r="D52" s="429"/>
      <c r="E52" s="429"/>
      <c r="F52" s="430"/>
      <c r="G52" s="430"/>
      <c r="H52" s="541" t="s">
        <v>407</v>
      </c>
      <c r="I52" s="542"/>
      <c r="J52" s="442" t="s">
        <v>408</v>
      </c>
    </row>
    <row r="53" spans="1:10" ht="15" customHeight="1">
      <c r="A53" s="427"/>
      <c r="B53" s="428"/>
      <c r="C53" s="440"/>
      <c r="D53" s="426" t="str">
        <f>CONCATENATE("",'Design Data'!H4," County")</f>
        <v>anywhere County</v>
      </c>
      <c r="E53" s="429"/>
      <c r="F53" s="430"/>
      <c r="G53" s="430"/>
      <c r="H53" s="536" t="s">
        <v>409</v>
      </c>
      <c r="I53" s="537"/>
      <c r="J53" s="443"/>
    </row>
    <row r="54" spans="1:10" ht="15.75" thickBot="1">
      <c r="A54" s="444"/>
      <c r="B54" s="445"/>
      <c r="C54" s="446"/>
      <c r="D54" s="447"/>
      <c r="E54" s="447"/>
      <c r="F54" s="448"/>
      <c r="G54" s="448"/>
      <c r="H54" s="538" t="s">
        <v>410</v>
      </c>
      <c r="I54" s="558"/>
      <c r="J54" s="449" t="s">
        <v>412</v>
      </c>
    </row>
  </sheetData>
  <sheetProtection password="CB73" sheet="1"/>
  <mergeCells count="27">
    <mergeCell ref="A1:J1"/>
    <mergeCell ref="F4:F6"/>
    <mergeCell ref="C4:E4"/>
    <mergeCell ref="E10:F10"/>
    <mergeCell ref="A2:J3"/>
    <mergeCell ref="A4:A6"/>
    <mergeCell ref="H4:I4"/>
    <mergeCell ref="C5:E5"/>
    <mergeCell ref="H5:I5"/>
    <mergeCell ref="D6:E6"/>
    <mergeCell ref="H8:I8"/>
    <mergeCell ref="E9:F9"/>
    <mergeCell ref="B21:C22"/>
    <mergeCell ref="E13:F13"/>
    <mergeCell ref="D14:F14"/>
    <mergeCell ref="A8:C8"/>
    <mergeCell ref="D8:F8"/>
    <mergeCell ref="E11:F11"/>
    <mergeCell ref="E12:F12"/>
    <mergeCell ref="H52:I52"/>
    <mergeCell ref="H53:I53"/>
    <mergeCell ref="H54:I54"/>
    <mergeCell ref="A24:B24"/>
    <mergeCell ref="H51:I51"/>
    <mergeCell ref="F48:J49"/>
    <mergeCell ref="I29:J30"/>
    <mergeCell ref="B46:D46"/>
  </mergeCells>
  <printOptions/>
  <pageMargins left="0.5" right="0.5" top="1" bottom="0.5" header="0.5" footer="0.5"/>
  <pageSetup fitToHeight="1" fitToWidth="1" horizontalDpi="600" verticalDpi="600" orientation="portrait" scale="76" r:id="rId3"/>
  <headerFooter alignWithMargins="0">
    <oddHeader>&amp;RRock_Chute.xls
for construction plan</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X96"/>
  <sheetViews>
    <sheetView zoomScalePageLayoutView="0" workbookViewId="0" topLeftCell="A21">
      <selection activeCell="I45" sqref="I45"/>
    </sheetView>
  </sheetViews>
  <sheetFormatPr defaultColWidth="10.25390625" defaultRowHeight="14.25" zeroHeight="1"/>
  <cols>
    <col min="1" max="10" width="10.25390625" style="197" customWidth="1"/>
    <col min="11" max="11" width="18.875" style="424" customWidth="1"/>
    <col min="12" max="28" width="10.25390625" style="398" hidden="1" customWidth="1"/>
  </cols>
  <sheetData>
    <row r="1" spans="1:11" ht="26.25">
      <c r="A1" s="503" t="s">
        <v>168</v>
      </c>
      <c r="B1" s="504"/>
      <c r="C1" s="504"/>
      <c r="D1" s="504"/>
      <c r="E1" s="504"/>
      <c r="F1" s="504"/>
      <c r="G1" s="504"/>
      <c r="H1" s="504"/>
      <c r="I1" s="504"/>
      <c r="J1" s="504"/>
      <c r="K1" s="74"/>
    </row>
    <row r="2" spans="1:11" ht="14.25">
      <c r="A2" s="507" t="str">
        <f>'Design Data'!A2:J3</f>
        <v>(Version WI-July-2010, Based on Design of Rock Chutes by Robinson, Rice, Kadavy, ASAE, 1998)</v>
      </c>
      <c r="B2" s="507"/>
      <c r="C2" s="507"/>
      <c r="D2" s="507"/>
      <c r="E2" s="507"/>
      <c r="F2" s="507"/>
      <c r="G2" s="507"/>
      <c r="H2" s="507"/>
      <c r="I2" s="507"/>
      <c r="J2" s="507"/>
      <c r="K2" s="74"/>
    </row>
    <row r="3" spans="1:11" ht="14.25">
      <c r="A3" s="508"/>
      <c r="B3" s="508"/>
      <c r="C3" s="508"/>
      <c r="D3" s="508"/>
      <c r="E3" s="508"/>
      <c r="F3" s="508"/>
      <c r="G3" s="508"/>
      <c r="H3" s="508"/>
      <c r="I3" s="508"/>
      <c r="J3" s="508"/>
      <c r="K3" s="74"/>
    </row>
    <row r="4" spans="1:11" ht="15" customHeight="1">
      <c r="A4" s="12"/>
      <c r="B4" s="15" t="s">
        <v>29</v>
      </c>
      <c r="C4" s="577" t="str">
        <f>'Design Data'!C4</f>
        <v>Sample project</v>
      </c>
      <c r="D4" s="578"/>
      <c r="E4" s="578"/>
      <c r="F4" s="579"/>
      <c r="G4" s="15" t="s">
        <v>104</v>
      </c>
      <c r="H4" s="596" t="str">
        <f>'Design Data'!H4:I4</f>
        <v>anywhere</v>
      </c>
      <c r="I4" s="597"/>
      <c r="J4" s="12"/>
      <c r="K4" s="74"/>
    </row>
    <row r="5" spans="1:11" ht="15" customHeight="1">
      <c r="A5" s="12"/>
      <c r="B5" s="15" t="s">
        <v>30</v>
      </c>
      <c r="C5" s="598" t="str">
        <f>'Design Data'!C5:E5</f>
        <v>sam</v>
      </c>
      <c r="D5" s="599"/>
      <c r="E5" s="599"/>
      <c r="F5" s="16"/>
      <c r="G5" s="15" t="s">
        <v>56</v>
      </c>
      <c r="H5" s="600"/>
      <c r="I5" s="601"/>
      <c r="J5" s="12"/>
      <c r="K5" s="74"/>
    </row>
    <row r="6" spans="1:11" ht="15" customHeight="1">
      <c r="A6" s="12"/>
      <c r="B6" s="15" t="s">
        <v>31</v>
      </c>
      <c r="C6" s="150">
        <f>'Design Data'!C6</f>
        <v>38892</v>
      </c>
      <c r="D6" s="508"/>
      <c r="E6" s="508"/>
      <c r="F6" s="16"/>
      <c r="G6" s="15" t="s">
        <v>57</v>
      </c>
      <c r="H6" s="137"/>
      <c r="I6" s="12"/>
      <c r="J6" s="12"/>
      <c r="K6" s="74"/>
    </row>
    <row r="7" spans="1:11" ht="18" customHeight="1">
      <c r="A7" s="594" t="s">
        <v>61</v>
      </c>
      <c r="B7" s="595"/>
      <c r="C7" s="595"/>
      <c r="D7" s="595"/>
      <c r="E7" s="595"/>
      <c r="F7" s="595"/>
      <c r="G7" s="595"/>
      <c r="H7" s="595"/>
      <c r="I7" s="595"/>
      <c r="J7" s="595"/>
      <c r="K7" s="74"/>
    </row>
    <row r="8" spans="1:12" ht="18" customHeight="1">
      <c r="A8" s="595"/>
      <c r="B8" s="595"/>
      <c r="C8" s="595"/>
      <c r="D8" s="595"/>
      <c r="E8" s="595"/>
      <c r="F8" s="595"/>
      <c r="G8" s="595"/>
      <c r="H8" s="595"/>
      <c r="I8" s="595"/>
      <c r="J8" s="595"/>
      <c r="K8" s="74"/>
      <c r="L8" s="399">
        <f>IF(AND(K11=K12,K11=K13,K15=K14,K16=K17,K18=K19,K20=K21),0,"1")</f>
        <v>0</v>
      </c>
    </row>
    <row r="9" spans="1:11" ht="15.75">
      <c r="A9" s="69"/>
      <c r="B9" s="12"/>
      <c r="C9" s="12"/>
      <c r="D9" s="12"/>
      <c r="E9" s="12"/>
      <c r="F9" s="12"/>
      <c r="G9" s="12"/>
      <c r="H9" s="12"/>
      <c r="I9" s="12"/>
      <c r="J9" s="12"/>
      <c r="K9" s="74"/>
    </row>
    <row r="10" spans="1:11" ht="15.75">
      <c r="A10" s="69"/>
      <c r="B10" s="592" t="s">
        <v>251</v>
      </c>
      <c r="C10" s="593"/>
      <c r="D10" s="12"/>
      <c r="E10" s="592" t="s">
        <v>252</v>
      </c>
      <c r="F10" s="593"/>
      <c r="G10" s="12"/>
      <c r="H10" s="12"/>
      <c r="I10" s="12"/>
      <c r="J10" s="75" t="s">
        <v>66</v>
      </c>
      <c r="K10" s="74"/>
    </row>
    <row r="11" spans="1:11" ht="17.25" thickBot="1">
      <c r="A11" s="12"/>
      <c r="B11" s="79" t="s">
        <v>181</v>
      </c>
      <c r="C11" s="182">
        <v>1.2232202575631326</v>
      </c>
      <c r="D11" s="61"/>
      <c r="E11" s="81" t="s">
        <v>181</v>
      </c>
      <c r="F11" s="182">
        <v>0.824562955816666</v>
      </c>
      <c r="G11" s="62" t="s">
        <v>186</v>
      </c>
      <c r="H11" s="12"/>
      <c r="I11" s="12"/>
      <c r="J11" s="72">
        <f>Qhigh</f>
        <v>99</v>
      </c>
      <c r="K11" s="234">
        <f>ROUND(J11,1)</f>
        <v>99</v>
      </c>
    </row>
    <row r="12" spans="1:19" ht="15.75" thickTop="1">
      <c r="A12" s="12"/>
      <c r="B12" s="63" t="s">
        <v>182</v>
      </c>
      <c r="C12" s="277">
        <f>Bwi*C11+mi*C11^2</f>
        <v>36.56557763312958</v>
      </c>
      <c r="D12" s="12"/>
      <c r="E12" s="63" t="s">
        <v>184</v>
      </c>
      <c r="F12" s="277">
        <f>Bwi*F11+mi*F11^2</f>
        <v>23.33369016783712</v>
      </c>
      <c r="G12" s="62" t="s">
        <v>187</v>
      </c>
      <c r="H12" s="12"/>
      <c r="I12" s="12"/>
      <c r="J12" s="72">
        <f>Qlow</f>
        <v>50</v>
      </c>
      <c r="K12" s="234">
        <f>ROUND(C13,1)</f>
        <v>99</v>
      </c>
      <c r="R12" s="585" t="s">
        <v>404</v>
      </c>
      <c r="S12" s="586"/>
    </row>
    <row r="13" spans="1:19" ht="19.5" thickBot="1">
      <c r="A13" s="12"/>
      <c r="B13" s="63" t="s">
        <v>183</v>
      </c>
      <c r="C13" s="276">
        <f>1.49/ni*(Bwi*C11+mi*C11^2)*((Bwi*C11+mi*C11^2)/(Bwi+2*C11*(1+mi^2)^0.5))^(2/3)*Si^0.5</f>
        <v>98.99997262338987</v>
      </c>
      <c r="D13" s="12"/>
      <c r="E13" s="63" t="s">
        <v>185</v>
      </c>
      <c r="F13" s="276">
        <f>1.49/ni*(Bwi*F11+mi*F11^2)*((Bwi*F11+mi*F11^2)/(Bwi+2*F11*(1+mi^2)^0.5))^(2/3)*Si^0.5</f>
        <v>49.99999313683661</v>
      </c>
      <c r="G13" s="62" t="s">
        <v>188</v>
      </c>
      <c r="H13" s="12"/>
      <c r="I13" s="12"/>
      <c r="J13" s="74"/>
      <c r="K13" s="234">
        <f>ROUND(C20,1)</f>
        <v>99</v>
      </c>
      <c r="R13" s="400"/>
      <c r="S13" s="401" t="s">
        <v>329</v>
      </c>
    </row>
    <row r="14" spans="1:22" ht="21" thickTop="1">
      <c r="A14" s="587" t="s">
        <v>342</v>
      </c>
      <c r="B14" s="588"/>
      <c r="C14" s="363">
        <f>Scupstreamchannel</f>
        <v>0.09270381363286626</v>
      </c>
      <c r="D14" s="12"/>
      <c r="E14" s="63"/>
      <c r="F14" s="60"/>
      <c r="G14" s="62"/>
      <c r="H14" s="12"/>
      <c r="I14" s="12"/>
      <c r="J14" s="74"/>
      <c r="K14" s="234">
        <f>ROUND(C31,1)</f>
        <v>99</v>
      </c>
      <c r="O14" s="402" t="s">
        <v>343</v>
      </c>
      <c r="P14" s="403"/>
      <c r="Q14" s="403"/>
      <c r="R14" s="403"/>
      <c r="S14" s="403"/>
      <c r="T14" s="403"/>
      <c r="U14" s="403"/>
      <c r="V14" s="404"/>
    </row>
    <row r="15" spans="1:24" ht="15.75">
      <c r="A15" s="271" t="s">
        <v>37</v>
      </c>
      <c r="B15" s="12"/>
      <c r="C15" s="12"/>
      <c r="D15" s="12"/>
      <c r="E15" s="12"/>
      <c r="F15" s="12"/>
      <c r="G15" s="12"/>
      <c r="H15" s="12"/>
      <c r="I15" s="12"/>
      <c r="J15" s="74"/>
      <c r="K15" s="74">
        <f>ROUND(Qhigh+'Design Data'!I15,1)</f>
        <v>99</v>
      </c>
      <c r="O15" s="405" t="s">
        <v>330</v>
      </c>
      <c r="P15" s="406"/>
      <c r="Q15" s="365">
        <f>ni</f>
        <v>0.08</v>
      </c>
      <c r="R15" s="407" t="s">
        <v>331</v>
      </c>
      <c r="S15" s="408">
        <f>(Q18*Q16+Q19*Q16^2)/(Q18+(2*Q16)*SQRT(Q19^2+1))</f>
        <v>1.0421423268085492</v>
      </c>
      <c r="T15" s="409"/>
      <c r="U15" s="409"/>
      <c r="V15" s="408"/>
      <c r="W15" s="408"/>
      <c r="X15" s="408"/>
    </row>
    <row r="16" spans="1:24" ht="15.75">
      <c r="A16" s="69"/>
      <c r="B16" s="12"/>
      <c r="C16" s="12"/>
      <c r="D16" s="12"/>
      <c r="E16" s="12"/>
      <c r="F16" s="12"/>
      <c r="G16" s="12"/>
      <c r="H16" s="12"/>
      <c r="I16" s="12"/>
      <c r="J16" s="74"/>
      <c r="K16" s="74">
        <f>ROUND(J12,1)</f>
        <v>50</v>
      </c>
      <c r="O16" s="405" t="s">
        <v>332</v>
      </c>
      <c r="P16" s="406"/>
      <c r="Q16" s="410">
        <f>C11</f>
        <v>1.2232202575631326</v>
      </c>
      <c r="R16" s="407" t="s">
        <v>333</v>
      </c>
      <c r="S16" s="411">
        <f>(Q18*Q16+Q19*Q16^2)/(Q18+2*Q19*Q16)</f>
        <v>1.0511650591276043</v>
      </c>
      <c r="T16" s="409"/>
      <c r="U16" s="409"/>
      <c r="V16" s="408"/>
      <c r="W16" s="408"/>
      <c r="X16" s="412" t="s">
        <v>328</v>
      </c>
    </row>
    <row r="17" spans="1:24" ht="15">
      <c r="A17" s="12"/>
      <c r="B17" s="592" t="s">
        <v>251</v>
      </c>
      <c r="C17" s="593"/>
      <c r="D17" s="12"/>
      <c r="E17" s="592" t="s">
        <v>252</v>
      </c>
      <c r="F17" s="593"/>
      <c r="G17" s="12"/>
      <c r="H17" s="12"/>
      <c r="I17" s="12"/>
      <c r="J17" s="74"/>
      <c r="K17" s="74">
        <f>ROUND(F13,1)</f>
        <v>50</v>
      </c>
      <c r="O17" s="405" t="s">
        <v>334</v>
      </c>
      <c r="P17" s="406"/>
      <c r="Q17" s="413">
        <f>Si</f>
        <v>0.02</v>
      </c>
      <c r="R17" s="407" t="s">
        <v>44</v>
      </c>
      <c r="S17" s="411">
        <f>Q15</f>
        <v>0.08</v>
      </c>
      <c r="T17" s="409"/>
      <c r="U17" s="409"/>
      <c r="V17" s="408"/>
      <c r="W17" s="408"/>
      <c r="X17" s="408"/>
    </row>
    <row r="18" spans="1:23" ht="16.5">
      <c r="A18" s="12"/>
      <c r="B18" s="79" t="s">
        <v>189</v>
      </c>
      <c r="C18" s="182">
        <v>0.4923577785276976</v>
      </c>
      <c r="D18" s="82"/>
      <c r="E18" s="81" t="s">
        <v>189</v>
      </c>
      <c r="F18" s="182">
        <v>0.31301246659747733</v>
      </c>
      <c r="G18" s="62" t="s">
        <v>199</v>
      </c>
      <c r="H18" s="12"/>
      <c r="I18" s="12"/>
      <c r="J18" s="74"/>
      <c r="K18" s="291">
        <f>Sc</f>
        <v>0.25</v>
      </c>
      <c r="O18" s="405" t="s">
        <v>335</v>
      </c>
      <c r="P18" s="406"/>
      <c r="Q18" s="414">
        <f>Bwi</f>
        <v>25</v>
      </c>
      <c r="R18" s="409"/>
      <c r="S18" s="409"/>
      <c r="T18" s="409"/>
      <c r="U18" s="409"/>
      <c r="V18" s="408"/>
      <c r="W18" s="408"/>
    </row>
    <row r="19" spans="1:24" ht="15">
      <c r="A19" s="12"/>
      <c r="B19" s="63" t="s">
        <v>182</v>
      </c>
      <c r="C19" s="277">
        <f>Bwc*C18+mc*C18^2</f>
        <v>25.102721290538337</v>
      </c>
      <c r="D19" s="12"/>
      <c r="E19" s="63" t="s">
        <v>182</v>
      </c>
      <c r="F19" s="277">
        <f>Bwc*F18+mc*F18^2</f>
        <v>15.84657693836474</v>
      </c>
      <c r="G19" s="62" t="s">
        <v>187</v>
      </c>
      <c r="H19" s="12"/>
      <c r="I19" s="12"/>
      <c r="J19" s="74"/>
      <c r="K19" s="291">
        <f>'Design Data'!I21</f>
        <v>0.25</v>
      </c>
      <c r="O19" s="405" t="s">
        <v>336</v>
      </c>
      <c r="P19" s="406"/>
      <c r="Q19" s="414">
        <f>mi</f>
        <v>4</v>
      </c>
      <c r="R19" s="409"/>
      <c r="S19" s="409"/>
      <c r="T19" s="409"/>
      <c r="U19" s="409"/>
      <c r="V19" s="415"/>
      <c r="W19" s="408"/>
      <c r="X19" s="416"/>
    </row>
    <row r="20" spans="1:23" ht="18.75">
      <c r="A20" s="12"/>
      <c r="B20" s="63" t="s">
        <v>183</v>
      </c>
      <c r="C20" s="276">
        <f>(32.2*(Bwc*C18+mc*C18^2)^3/(Bwc+2*mc*C18))^0.5</f>
        <v>98.99999229687272</v>
      </c>
      <c r="D20" s="12"/>
      <c r="E20" s="63" t="s">
        <v>190</v>
      </c>
      <c r="F20" s="276">
        <f>(32.2*(Bwc*F18+mc*F18^2)^3/(Bwc+2*mc*F18))^0.5</f>
        <v>50.0006340034932</v>
      </c>
      <c r="G20" s="62" t="s">
        <v>188</v>
      </c>
      <c r="H20" s="12"/>
      <c r="I20" s="12"/>
      <c r="J20" s="74"/>
      <c r="K20" s="291">
        <f>Fs</f>
        <v>1.2</v>
      </c>
      <c r="O20" s="417"/>
      <c r="P20" s="417"/>
      <c r="Q20" s="417"/>
      <c r="R20" s="417"/>
      <c r="S20" s="409"/>
      <c r="T20" s="417"/>
      <c r="U20" s="417"/>
      <c r="V20" s="408"/>
      <c r="W20" s="408"/>
    </row>
    <row r="21" spans="1:24" ht="19.5" thickBot="1">
      <c r="A21" s="12"/>
      <c r="B21" s="63" t="s">
        <v>191</v>
      </c>
      <c r="C21" s="12">
        <f>ROUND(C18*(3*Bwc+5*mc*C18)/(2*Bwc+4*mc*C18),2)</f>
        <v>0.73</v>
      </c>
      <c r="D21" s="12"/>
      <c r="E21" s="63" t="s">
        <v>191</v>
      </c>
      <c r="F21" s="12">
        <f>ROUND(F18*(3*Bwc+5*mc*F18)/(2*Bwc+4*mc*F18),2)</f>
        <v>0.47</v>
      </c>
      <c r="G21" s="62" t="s">
        <v>200</v>
      </c>
      <c r="H21" s="12"/>
      <c r="I21" s="12"/>
      <c r="J21" s="74"/>
      <c r="K21" s="291">
        <f>'Design Data'!J21</f>
        <v>1.2</v>
      </c>
      <c r="O21" s="417"/>
      <c r="P21" s="417"/>
      <c r="Q21" s="417"/>
      <c r="R21" s="417"/>
      <c r="S21" s="409"/>
      <c r="T21" s="417"/>
      <c r="U21" s="417"/>
      <c r="V21" s="408"/>
      <c r="W21" s="408"/>
      <c r="X21" s="408"/>
    </row>
    <row r="22" spans="1:24" ht="20.25" thickBot="1" thickTop="1">
      <c r="A22" s="12"/>
      <c r="B22" s="63" t="s">
        <v>192</v>
      </c>
      <c r="C22" s="12">
        <f>C21-C18</f>
        <v>0.2376422214723024</v>
      </c>
      <c r="D22" s="12"/>
      <c r="E22" s="63" t="s">
        <v>192</v>
      </c>
      <c r="F22" s="12">
        <f>F21-F18</f>
        <v>0.15698753340252264</v>
      </c>
      <c r="G22" s="62" t="s">
        <v>201</v>
      </c>
      <c r="H22" s="12"/>
      <c r="I22" s="12"/>
      <c r="J22" s="12"/>
      <c r="K22" s="74"/>
      <c r="O22" s="589" t="s">
        <v>337</v>
      </c>
      <c r="P22" s="590"/>
      <c r="Q22" s="590"/>
      <c r="R22" s="590"/>
      <c r="S22" s="591"/>
      <c r="T22" s="418" t="s">
        <v>340</v>
      </c>
      <c r="U22" s="419"/>
      <c r="V22" s="408"/>
      <c r="W22" s="408"/>
      <c r="X22" s="408"/>
    </row>
    <row r="23" spans="1:24" ht="17.25" thickTop="1">
      <c r="A23" s="12"/>
      <c r="B23" s="79" t="s">
        <v>193</v>
      </c>
      <c r="C23" s="83">
        <f>10*C18</f>
        <v>4.923577785276976</v>
      </c>
      <c r="D23" s="12"/>
      <c r="E23" s="285" t="s">
        <v>36</v>
      </c>
      <c r="F23" s="64" t="s">
        <v>36</v>
      </c>
      <c r="G23" s="62" t="s">
        <v>202</v>
      </c>
      <c r="H23" s="12"/>
      <c r="I23" s="12"/>
      <c r="J23" s="12"/>
      <c r="K23" s="74"/>
      <c r="O23" s="580" t="s">
        <v>342</v>
      </c>
      <c r="P23" s="581"/>
      <c r="Q23" s="420">
        <f>14.56*((S17^2*S16)/(S15^1.334))</f>
        <v>0.09270381363286626</v>
      </c>
      <c r="R23" s="421" t="s">
        <v>338</v>
      </c>
      <c r="S23" s="417"/>
      <c r="T23" s="417"/>
      <c r="U23" s="417"/>
      <c r="V23" s="408"/>
      <c r="W23" s="408"/>
      <c r="X23" s="408" t="s">
        <v>328</v>
      </c>
    </row>
    <row r="24" spans="1:24" ht="16.5">
      <c r="A24" s="12"/>
      <c r="B24" s="79" t="s">
        <v>194</v>
      </c>
      <c r="C24" s="83">
        <f>ROUND(0.715*C18,2)</f>
        <v>0.35</v>
      </c>
      <c r="D24" s="83"/>
      <c r="E24" s="79" t="s">
        <v>194</v>
      </c>
      <c r="F24" s="83">
        <f>0.715*F18</f>
        <v>0.2238039136171963</v>
      </c>
      <c r="G24" s="62" t="s">
        <v>203</v>
      </c>
      <c r="H24" s="12"/>
      <c r="I24" s="12"/>
      <c r="J24" s="12"/>
      <c r="K24" s="74"/>
      <c r="O24" s="417"/>
      <c r="P24" s="422" t="s">
        <v>339</v>
      </c>
      <c r="Q24" s="423">
        <f>Q17</f>
        <v>0.02</v>
      </c>
      <c r="R24" s="421" t="s">
        <v>338</v>
      </c>
      <c r="S24" s="408"/>
      <c r="T24" s="408"/>
      <c r="U24" s="408"/>
      <c r="V24" s="408"/>
      <c r="W24" s="408"/>
      <c r="X24" s="408"/>
    </row>
    <row r="25" spans="1:24" ht="15">
      <c r="A25" s="12"/>
      <c r="B25" s="63"/>
      <c r="C25" s="12"/>
      <c r="D25" s="12"/>
      <c r="E25" s="63"/>
      <c r="F25" s="12"/>
      <c r="G25" s="62"/>
      <c r="H25" s="12"/>
      <c r="I25" s="12"/>
      <c r="J25" s="12"/>
      <c r="K25" s="74"/>
      <c r="O25" s="417"/>
      <c r="P25" s="422"/>
      <c r="Q25" s="408"/>
      <c r="T25" s="422"/>
      <c r="U25" s="408"/>
      <c r="V25" s="408"/>
      <c r="W25" s="408"/>
      <c r="X25" s="408"/>
    </row>
    <row r="26" spans="1:24" ht="16.5" thickBot="1">
      <c r="A26" s="271" t="s">
        <v>38</v>
      </c>
      <c r="B26" s="63"/>
      <c r="C26" s="12"/>
      <c r="D26" s="12"/>
      <c r="E26" s="63"/>
      <c r="F26" s="12"/>
      <c r="G26" s="62"/>
      <c r="H26" s="12"/>
      <c r="I26" s="12"/>
      <c r="J26" s="73" t="s">
        <v>67</v>
      </c>
      <c r="K26" s="74"/>
      <c r="O26" s="417"/>
      <c r="P26" s="417"/>
      <c r="Q26" s="417"/>
      <c r="R26" s="417"/>
      <c r="S26" s="417"/>
      <c r="T26" s="417"/>
      <c r="U26" s="417"/>
      <c r="V26" s="408"/>
      <c r="W26" s="408"/>
      <c r="X26" s="408"/>
    </row>
    <row r="27" spans="1:24" ht="16.5" thickBot="1" thickTop="1">
      <c r="A27" s="12"/>
      <c r="B27" s="12"/>
      <c r="C27" s="12"/>
      <c r="D27" s="12"/>
      <c r="E27" s="12"/>
      <c r="F27" s="12"/>
      <c r="G27" s="12"/>
      <c r="H27" s="12"/>
      <c r="I27" s="12"/>
      <c r="J27" s="73" t="s">
        <v>68</v>
      </c>
      <c r="K27" s="74"/>
      <c r="O27" s="582" t="s">
        <v>344</v>
      </c>
      <c r="P27" s="583"/>
      <c r="Q27" s="583"/>
      <c r="R27" s="584"/>
      <c r="S27" s="418" t="str">
        <f>IF(Q17&gt;Q23,"unstable","OK")</f>
        <v>OK</v>
      </c>
      <c r="T27" s="417"/>
      <c r="U27" s="417"/>
      <c r="V27" s="408"/>
      <c r="W27" s="408"/>
      <c r="X27" s="408"/>
    </row>
    <row r="28" spans="1:11" ht="15" thickTop="1">
      <c r="A28" s="12"/>
      <c r="B28" s="592" t="s">
        <v>251</v>
      </c>
      <c r="C28" s="593"/>
      <c r="D28" s="12"/>
      <c r="E28" s="592" t="s">
        <v>252</v>
      </c>
      <c r="F28" s="593"/>
      <c r="G28" s="12"/>
      <c r="H28" s="12"/>
      <c r="I28" s="12"/>
      <c r="J28" s="74">
        <f>Qhigh+'Design Data'!I15</f>
        <v>99</v>
      </c>
      <c r="K28" s="74"/>
    </row>
    <row r="29" spans="1:11" ht="15">
      <c r="A29" s="12"/>
      <c r="B29" s="79" t="s">
        <v>195</v>
      </c>
      <c r="C29" s="182">
        <v>1.1274467643838215</v>
      </c>
      <c r="D29" s="82"/>
      <c r="E29" s="81" t="s">
        <v>195</v>
      </c>
      <c r="F29" s="182">
        <v>0.7619860153571847</v>
      </c>
      <c r="G29" s="62" t="s">
        <v>204</v>
      </c>
      <c r="H29" s="12"/>
      <c r="I29" s="12"/>
      <c r="J29" s="74">
        <f>Qlow+'Design Data'!I15</f>
        <v>50</v>
      </c>
      <c r="K29" s="74"/>
    </row>
    <row r="30" spans="1:11" ht="14.25">
      <c r="A30" s="12"/>
      <c r="B30" s="63" t="s">
        <v>182</v>
      </c>
      <c r="C30" s="277">
        <f>Bwo*C29+mo*C29^2</f>
        <v>27.633480113754622</v>
      </c>
      <c r="D30" s="12"/>
      <c r="E30" s="63" t="s">
        <v>182</v>
      </c>
      <c r="F30" s="277">
        <f>Bwo*F29+mo*F29^2</f>
        <v>17.562211057543372</v>
      </c>
      <c r="G30" s="62" t="s">
        <v>187</v>
      </c>
      <c r="H30" s="12"/>
      <c r="I30" s="12"/>
      <c r="J30" s="12"/>
      <c r="K30" s="74"/>
    </row>
    <row r="31" spans="1:11" ht="18.75">
      <c r="A31" s="12"/>
      <c r="B31" s="63" t="s">
        <v>197</v>
      </c>
      <c r="C31" s="276">
        <f>1.49/no*(Bwo*C29+mo*C29^2)*((Bwo*C29+mo*C29^2)/(Bwo+2*C29*(1+mo^2)^0.5))^(2/3)*So^0.5</f>
        <v>98.99999929673636</v>
      </c>
      <c r="D31" s="12"/>
      <c r="E31" s="63" t="s">
        <v>198</v>
      </c>
      <c r="F31" s="276">
        <f>1.49/no*(Bwo*F29+mo*F29^2)*((Bwo*F29+mo*F29^2)/(Bwo+2*F29*(1+mo^2)^0.5))^(2/3)*So^0.5</f>
        <v>49.99994099399515</v>
      </c>
      <c r="G31" s="62" t="s">
        <v>188</v>
      </c>
      <c r="H31" s="12"/>
      <c r="I31" s="12"/>
      <c r="J31" s="12"/>
      <c r="K31" s="74"/>
    </row>
    <row r="32" spans="1:11" ht="18.75">
      <c r="A32" s="12"/>
      <c r="B32" s="63" t="s">
        <v>196</v>
      </c>
      <c r="C32" s="60">
        <f>IF('Design Data'!H22="Program",IF(Tw&lt;=Hd+0.715*yc,0,Tw-Hd),IF('Design Data'!H22&lt;=Hd+0.715*yc,0,'Design Data'!H22-Hd))</f>
        <v>0</v>
      </c>
      <c r="D32" s="12"/>
      <c r="E32" s="63" t="s">
        <v>196</v>
      </c>
      <c r="F32" s="60">
        <f>IF('Design Data'!H23="Program",IF(F29&lt;=Hd+0.715*F18,0,F29-Hd),IF('Design Data'!H23&lt;=Hd+0.715*F18,0,'Design Data'!H23-Hd))</f>
        <v>0</v>
      </c>
      <c r="G32" s="77" t="s">
        <v>205</v>
      </c>
      <c r="H32" s="12"/>
      <c r="I32" s="12"/>
      <c r="J32" s="12"/>
      <c r="K32" s="74"/>
    </row>
    <row r="33" spans="1:11" ht="18.75">
      <c r="A33" s="12"/>
      <c r="B33" s="63"/>
      <c r="C33" s="60"/>
      <c r="D33" s="12"/>
      <c r="E33" s="63"/>
      <c r="F33" s="60"/>
      <c r="G33" s="76" t="s">
        <v>206</v>
      </c>
      <c r="H33" s="12"/>
      <c r="I33" s="12"/>
      <c r="J33" s="12"/>
      <c r="K33" s="74"/>
    </row>
    <row r="34" spans="1:11" ht="18.75" customHeight="1">
      <c r="A34" s="271" t="s">
        <v>40</v>
      </c>
      <c r="B34" s="63"/>
      <c r="C34" s="12"/>
      <c r="D34" s="12"/>
      <c r="E34" s="63"/>
      <c r="F34" s="12"/>
      <c r="G34" s="65"/>
      <c r="H34" s="12"/>
      <c r="I34" s="62"/>
      <c r="J34" s="12"/>
      <c r="K34" s="74"/>
    </row>
    <row r="35" spans="1:11" ht="6" customHeight="1">
      <c r="A35" s="70"/>
      <c r="B35" s="63"/>
      <c r="C35" s="12"/>
      <c r="D35" s="12"/>
      <c r="E35" s="63"/>
      <c r="F35" s="12"/>
      <c r="G35" s="65"/>
      <c r="H35" s="12"/>
      <c r="I35" s="62"/>
      <c r="J35" s="12"/>
      <c r="K35" s="74"/>
    </row>
    <row r="36" spans="1:11" ht="18.75" customHeight="1">
      <c r="A36" s="71"/>
      <c r="B36" s="63"/>
      <c r="C36" s="235" t="s">
        <v>41</v>
      </c>
      <c r="D36" s="272">
        <v>1</v>
      </c>
      <c r="E36" s="62" t="s">
        <v>42</v>
      </c>
      <c r="F36" s="12"/>
      <c r="G36" s="65"/>
      <c r="H36" s="66"/>
      <c r="I36" s="62"/>
      <c r="J36" s="12"/>
      <c r="K36" s="74"/>
    </row>
    <row r="37" spans="1:11" ht="14.25">
      <c r="A37" s="12"/>
      <c r="B37" s="592" t="s">
        <v>251</v>
      </c>
      <c r="C37" s="593"/>
      <c r="D37" s="12"/>
      <c r="E37" s="88"/>
      <c r="F37" s="88"/>
      <c r="G37" s="88"/>
      <c r="H37" s="88"/>
      <c r="I37" s="86"/>
      <c r="J37" s="12"/>
      <c r="K37" s="74"/>
    </row>
    <row r="38" spans="1:11" ht="16.5">
      <c r="A38" s="12"/>
      <c r="B38" s="79" t="s">
        <v>207</v>
      </c>
      <c r="C38" s="181">
        <v>0.7397275693412242</v>
      </c>
      <c r="D38" s="186">
        <v>0.0973681221609545</v>
      </c>
      <c r="E38" s="267">
        <v>0.07520845841605034</v>
      </c>
      <c r="F38" s="183">
        <v>0.06588872143081542</v>
      </c>
      <c r="G38" s="183">
        <v>0.057645042695086295</v>
      </c>
      <c r="H38" s="183">
        <v>0.05037016255363232</v>
      </c>
      <c r="I38" s="184"/>
      <c r="J38" s="185"/>
      <c r="K38" s="74"/>
    </row>
    <row r="39" spans="1:11" ht="14.25">
      <c r="A39" s="12"/>
      <c r="B39" s="63" t="s">
        <v>208</v>
      </c>
      <c r="C39" s="277">
        <f aca="true" t="shared" si="0" ref="C39:H39">Bwi*C38+mi*C38^2</f>
        <v>20.681976740904506</v>
      </c>
      <c r="D39" s="93">
        <f t="shared" si="0"/>
        <v>2.472125258876465</v>
      </c>
      <c r="E39" s="278">
        <f t="shared" si="0"/>
        <v>1.9028367092705336</v>
      </c>
      <c r="F39" s="88">
        <f t="shared" si="0"/>
        <v>1.664583330217536</v>
      </c>
      <c r="G39" s="88">
        <f t="shared" si="0"/>
        <v>1.4544178711664306</v>
      </c>
      <c r="H39" s="88">
        <f t="shared" si="0"/>
        <v>1.2694026769435252</v>
      </c>
      <c r="I39" s="87"/>
      <c r="J39" s="12"/>
      <c r="K39" s="74"/>
    </row>
    <row r="40" spans="1:11" ht="16.5">
      <c r="A40" s="12"/>
      <c r="B40" s="79" t="s">
        <v>209</v>
      </c>
      <c r="C40" s="84">
        <v>0</v>
      </c>
      <c r="D40" s="94">
        <f>Qhigh/D39</f>
        <v>40.046514489720344</v>
      </c>
      <c r="E40" s="269">
        <f>D42/D39</f>
        <v>45.57349120948262</v>
      </c>
      <c r="F40" s="89">
        <f>E42/E39</f>
        <v>52.027908952316196</v>
      </c>
      <c r="G40" s="89">
        <f>F42/F39</f>
        <v>59.47439150561749</v>
      </c>
      <c r="H40" s="89">
        <f>G42/G39</f>
        <v>68.06847428516511</v>
      </c>
      <c r="I40" s="87"/>
      <c r="J40" s="12"/>
      <c r="K40" s="74"/>
    </row>
    <row r="41" spans="1:11" ht="18.75">
      <c r="A41" s="12"/>
      <c r="B41" s="63" t="s">
        <v>71</v>
      </c>
      <c r="C41" s="12">
        <f aca="true" t="shared" si="1" ref="C41:H41">C40^2/64.4</f>
        <v>0</v>
      </c>
      <c r="D41" s="93">
        <f t="shared" si="1"/>
        <v>24.902536067940705</v>
      </c>
      <c r="E41" s="268">
        <f t="shared" si="1"/>
        <v>32.25066927050915</v>
      </c>
      <c r="F41" s="88">
        <f t="shared" si="1"/>
        <v>42.03266009239912</v>
      </c>
      <c r="G41" s="88">
        <f t="shared" si="1"/>
        <v>54.925516226140765</v>
      </c>
      <c r="H41" s="88">
        <f t="shared" si="1"/>
        <v>71.94591912282894</v>
      </c>
      <c r="I41" s="391"/>
      <c r="J41" s="392"/>
      <c r="K41" s="74"/>
    </row>
    <row r="42" spans="1:11" ht="18.75">
      <c r="A42" s="12"/>
      <c r="B42" s="63" t="s">
        <v>183</v>
      </c>
      <c r="C42" s="276">
        <f>(0.385*Cd*(2*32.2)^0.5*(Bwc-0.1*2*C38)*((C38+C40^2/64.4)^1.5-(C40^2/64.4)^1.5)+8/15*Cd*(2*32.2)^0.5*(1/mc)*C38^2.5)*(1-(C32/C38)^1.44)^0.385</f>
        <v>99.00000277376333</v>
      </c>
      <c r="D42" s="91">
        <f>(0.385*Cd*(2*32.2)^0.5*(Bwc-0.1*2*D38)*((D38+D40^2/64.4)^1.5-(D40^2/64.4)^1.5)+8/15*Cd*(2*32.2)^0.5*(1/mc)*D38^2.5)*(1-(C32/D38)^1.44)^0.385</f>
        <v>112.66337875414652</v>
      </c>
      <c r="E42" s="279">
        <f>(0.385*Cd*(2*32.2)^0.5*(Bwc-0.1*2*E38)*((E38+E40^2/64.4)^1.5-(E40^2/64.4)^1.5)+8/15*Cd*(2*32.2)^0.5*(1/mc)*E38^2.5)*(1-(C32/E38)^1.44)^0.385</f>
        <v>99.00061506105229</v>
      </c>
      <c r="F42" s="90">
        <f>(0.385*Cd*(2*32.2)^0.5*(Bwc-0.1*2*F38)*((F38+F40^2/64.4)^1.5-(F40^2/64.4)^1.5)+8/15*Cd*(2*32.2)^0.5*(1/mc)*F38^2.5)*(1-(C32/F38)^1.44)^0.385</f>
        <v>99.00008067508229</v>
      </c>
      <c r="G42" s="90">
        <f>(0.385*Cd*(2*32.2)^0.5*(Bwc-0.1*2*G38)*((G38+G40^2/64.4)^1.5-(G40^2/64.4)^1.5)+8/15*Cd*(2*32.2)^0.5*(1/mc)*G38^2.5)*(1-(C32/G38)^1.44)^0.385</f>
        <v>99.00000546337677</v>
      </c>
      <c r="H42" s="90">
        <f>(0.385*Cd*(2*32.2)^0.5*(Bwc-0.1*2*H38)*((H38+H40^2/64.4)^1.5-(H40^2/64.4)^1.5)+8/15*Cd*(2*32.2)^0.5*(1/mc)*H38^2.5)*(1-(C32/H38)^1.44)^0.385</f>
        <v>98.99999998639377</v>
      </c>
      <c r="I42" s="391"/>
      <c r="J42" s="392"/>
      <c r="K42" s="74"/>
    </row>
    <row r="43" spans="1:11" ht="14.25">
      <c r="A43" s="12"/>
      <c r="B43" s="63"/>
      <c r="C43" s="60"/>
      <c r="D43" s="85" t="s">
        <v>75</v>
      </c>
      <c r="E43" s="225"/>
      <c r="F43" s="60"/>
      <c r="G43" s="62"/>
      <c r="H43" s="12"/>
      <c r="I43" s="392"/>
      <c r="J43" s="392"/>
      <c r="K43" s="74"/>
    </row>
    <row r="44" spans="1:11" ht="14.25">
      <c r="A44" s="12"/>
      <c r="B44" s="592" t="s">
        <v>252</v>
      </c>
      <c r="C44" s="593"/>
      <c r="D44" s="93"/>
      <c r="E44" s="225"/>
      <c r="F44" s="91"/>
      <c r="G44" s="92"/>
      <c r="H44" s="93"/>
      <c r="I44" s="393"/>
      <c r="J44" s="392"/>
      <c r="K44" s="74"/>
    </row>
    <row r="45" spans="1:11" ht="16.5">
      <c r="A45" s="12"/>
      <c r="B45" s="79" t="s">
        <v>207</v>
      </c>
      <c r="C45" s="181">
        <v>0.469960084571976</v>
      </c>
      <c r="D45" s="186">
        <v>0.10587876385052732</v>
      </c>
      <c r="E45" s="182">
        <v>0.08148346305854624</v>
      </c>
      <c r="F45" s="186">
        <v>0.07134556848948556</v>
      </c>
      <c r="G45" s="186">
        <v>0.06240723358598656</v>
      </c>
      <c r="H45" s="186">
        <v>0.05453446393638635</v>
      </c>
      <c r="I45" s="394"/>
      <c r="J45" s="395"/>
      <c r="K45" s="74"/>
    </row>
    <row r="46" spans="1:11" ht="14.25">
      <c r="A46" s="12"/>
      <c r="B46" s="63" t="s">
        <v>182</v>
      </c>
      <c r="C46" s="277">
        <f aca="true" t="shared" si="2" ref="C46:H46">Bwi*C45+mi*C45^2</f>
        <v>12.632452038662997</v>
      </c>
      <c r="D46" s="93">
        <f t="shared" si="2"/>
        <v>2.691810346801246</v>
      </c>
      <c r="E46" s="280">
        <f t="shared" si="2"/>
        <v>2.06364479547171</v>
      </c>
      <c r="F46" s="93">
        <f t="shared" si="2"/>
        <v>1.8039999728094904</v>
      </c>
      <c r="G46" s="93">
        <f t="shared" si="2"/>
        <v>1.5757594908650874</v>
      </c>
      <c r="H46" s="93">
        <f t="shared" si="2"/>
        <v>1.375257629436975</v>
      </c>
      <c r="I46" s="396"/>
      <c r="J46" s="392"/>
      <c r="K46" s="74"/>
    </row>
    <row r="47" spans="1:11" ht="16.5">
      <c r="A47" s="12"/>
      <c r="B47" s="79" t="s">
        <v>210</v>
      </c>
      <c r="C47" s="84">
        <v>0</v>
      </c>
      <c r="D47" s="94">
        <f>Qlow/D46</f>
        <v>18.57485987429107</v>
      </c>
      <c r="E47" s="80">
        <f>D49/D46</f>
        <v>21.19438559745341</v>
      </c>
      <c r="F47" s="94">
        <f>E49/E46</f>
        <v>24.228975946470662</v>
      </c>
      <c r="G47" s="94">
        <f>F49/F46</f>
        <v>27.716391721556235</v>
      </c>
      <c r="H47" s="94">
        <f>G49/G46</f>
        <v>31.730762490806665</v>
      </c>
      <c r="I47" s="396"/>
      <c r="J47" s="392"/>
      <c r="K47" s="74"/>
    </row>
    <row r="48" spans="1:11" ht="18.75">
      <c r="A48" s="12"/>
      <c r="B48" s="63" t="s">
        <v>71</v>
      </c>
      <c r="C48" s="12">
        <f aca="true" t="shared" si="3" ref="C48:H48">C47^2/64.4</f>
        <v>0</v>
      </c>
      <c r="D48" s="93">
        <f t="shared" si="3"/>
        <v>5.357537567539573</v>
      </c>
      <c r="E48" s="195">
        <f t="shared" si="3"/>
        <v>6.975186038098456</v>
      </c>
      <c r="F48" s="93">
        <f t="shared" si="3"/>
        <v>9.11557881078655</v>
      </c>
      <c r="G48" s="93">
        <f t="shared" si="3"/>
        <v>11.928546118986816</v>
      </c>
      <c r="H48" s="93">
        <f t="shared" si="3"/>
        <v>15.6341814945339</v>
      </c>
      <c r="I48" s="396"/>
      <c r="J48" s="392"/>
      <c r="K48" s="74"/>
    </row>
    <row r="49" spans="1:11" ht="18.75">
      <c r="A49" s="12"/>
      <c r="B49" s="63" t="s">
        <v>190</v>
      </c>
      <c r="C49" s="276">
        <f aca="true" t="shared" si="4" ref="C49:H49">(0.385*Cd*(2*32.2)^0.5*(Bwc-0.1*2*C45)*((C45+C47^2/64.4)^1.5-(C47^2/64.4)^1.5)+8/15*Cd*(2*32.2)^0.5*(1/mc)*C45^2.5)*(1-($F32/C45)^1.44)^0.385</f>
        <v>50.00016710744181</v>
      </c>
      <c r="D49" s="91">
        <f t="shared" si="4"/>
        <v>57.05126644532041</v>
      </c>
      <c r="E49" s="281">
        <f t="shared" si="4"/>
        <v>50.00000011154343</v>
      </c>
      <c r="F49" s="91">
        <f t="shared" si="4"/>
        <v>50.000369912064635</v>
      </c>
      <c r="G49" s="91">
        <f t="shared" si="4"/>
        <v>50.00005014727452</v>
      </c>
      <c r="H49" s="91">
        <f t="shared" si="4"/>
        <v>50.000005234464155</v>
      </c>
      <c r="I49" s="396"/>
      <c r="J49" s="392"/>
      <c r="K49" s="74"/>
    </row>
    <row r="50" spans="1:11" ht="18" customHeight="1">
      <c r="A50" s="12"/>
      <c r="B50" s="63"/>
      <c r="C50" s="60"/>
      <c r="D50" s="85" t="s">
        <v>75</v>
      </c>
      <c r="E50" s="60"/>
      <c r="F50" s="60"/>
      <c r="G50" s="60"/>
      <c r="H50" s="60"/>
      <c r="I50" s="66"/>
      <c r="J50" s="392"/>
      <c r="K50" s="74"/>
    </row>
    <row r="51" spans="1:11" ht="34.5" customHeight="1">
      <c r="A51" s="270" t="s">
        <v>69</v>
      </c>
      <c r="B51" s="63"/>
      <c r="C51" s="60"/>
      <c r="D51" s="12"/>
      <c r="E51" s="63"/>
      <c r="F51" s="60"/>
      <c r="G51" s="62"/>
      <c r="H51" s="12"/>
      <c r="I51" s="12"/>
      <c r="J51" s="12"/>
      <c r="K51" s="74"/>
    </row>
    <row r="52" spans="1:11" ht="14.25">
      <c r="A52" s="12"/>
      <c r="B52" s="63"/>
      <c r="C52" s="12"/>
      <c r="D52" s="12"/>
      <c r="E52" s="63"/>
      <c r="F52" s="12"/>
      <c r="G52" s="62"/>
      <c r="H52" s="12"/>
      <c r="I52" s="12"/>
      <c r="J52" s="12"/>
      <c r="K52" s="74"/>
    </row>
    <row r="53" spans="1:11" ht="14.25">
      <c r="A53" s="12"/>
      <c r="B53" s="592" t="s">
        <v>251</v>
      </c>
      <c r="C53" s="593"/>
      <c r="D53" s="12"/>
      <c r="E53" s="592" t="s">
        <v>252</v>
      </c>
      <c r="F53" s="593"/>
      <c r="G53" s="62"/>
      <c r="H53" s="12"/>
      <c r="I53" s="12"/>
      <c r="J53" s="12"/>
      <c r="K53" s="74"/>
    </row>
    <row r="54" spans="1:11" ht="18.75">
      <c r="A54" s="12"/>
      <c r="B54" s="63" t="s">
        <v>211</v>
      </c>
      <c r="C54" s="12">
        <f>(32.2)^0.5*yc^1.5*0.3048^2</f>
        <v>0.18212898465592856</v>
      </c>
      <c r="D54" s="12"/>
      <c r="E54" s="63" t="s">
        <v>211</v>
      </c>
      <c r="F54" s="12">
        <f>(32.2)^0.5*F18^1.5*0.3048^2</f>
        <v>0.09232096035298204</v>
      </c>
      <c r="G54" s="62" t="s">
        <v>233</v>
      </c>
      <c r="H54" s="12"/>
      <c r="I54" s="12"/>
      <c r="J54" s="12"/>
      <c r="K54" s="74"/>
    </row>
    <row r="55" spans="1:11" ht="18.75">
      <c r="A55" s="12"/>
      <c r="B55" s="79" t="s">
        <v>74</v>
      </c>
      <c r="C55" s="62">
        <f>IF(Sc&lt;0.1,(C54*Sc^1.5/(9.76*10^-7))^(1/1.89),(C54*Sc^0.58/(8.07*10^-6))^(1/1.89))</f>
        <v>131.42649609374263</v>
      </c>
      <c r="D55" s="78" t="str">
        <f>CONCATENATE("(",ROUND(C55/25.4,2)," in.)")</f>
        <v>(5.17 in.)</v>
      </c>
      <c r="E55" s="63" t="s">
        <v>212</v>
      </c>
      <c r="F55" s="12">
        <f>IF(Sc&lt;0.1,(F54*Sc^1.5/(9.76*10^-7))^(1/1.89),(F54*Sc^0.58/(8.07*10^-6))^(1/1.89))</f>
        <v>91.73954993456364</v>
      </c>
      <c r="G55" s="62" t="s">
        <v>234</v>
      </c>
      <c r="H55" s="12"/>
      <c r="I55" s="12"/>
      <c r="J55" s="12"/>
      <c r="K55" s="74"/>
    </row>
    <row r="56" spans="1:11" ht="14.25">
      <c r="A56" s="12"/>
      <c r="B56" s="63" t="s">
        <v>44</v>
      </c>
      <c r="C56" s="67">
        <f>0.0292*(C55*Sc)^0.147</f>
        <v>0.0487895062824293</v>
      </c>
      <c r="D56" s="12"/>
      <c r="E56" s="63" t="s">
        <v>44</v>
      </c>
      <c r="F56" s="67">
        <f>0.0292*(F55*Sc)^0.147</f>
        <v>0.04627813553695598</v>
      </c>
      <c r="G56" s="62" t="s">
        <v>216</v>
      </c>
      <c r="H56" s="12"/>
      <c r="I56" s="12"/>
      <c r="J56" s="12"/>
      <c r="K56" s="74"/>
    </row>
    <row r="57" spans="1:11" ht="18.75">
      <c r="A57" s="12"/>
      <c r="B57" s="63" t="s">
        <v>45</v>
      </c>
      <c r="C57" s="12">
        <f>(C56*C54/Sc^0.5)^(3/5)*3.28084</f>
        <v>0.29229833567594343</v>
      </c>
      <c r="D57" s="12"/>
      <c r="E57" s="63" t="s">
        <v>45</v>
      </c>
      <c r="F57" s="12">
        <f>(F56*F54/Sc^0.5)^(3/5)*3.28084</f>
        <v>0.18836870363448238</v>
      </c>
      <c r="G57" s="62" t="s">
        <v>217</v>
      </c>
      <c r="H57" s="12"/>
      <c r="I57" s="12"/>
      <c r="J57" s="12"/>
      <c r="K57" s="74"/>
    </row>
    <row r="58" spans="1:11" ht="18.75">
      <c r="A58" s="12"/>
      <c r="B58" s="63" t="s">
        <v>223</v>
      </c>
      <c r="C58" s="277">
        <f>Bwc*C57+mc*(C57)^2</f>
        <v>14.785793417875025</v>
      </c>
      <c r="D58" s="12"/>
      <c r="E58" s="63" t="s">
        <v>213</v>
      </c>
      <c r="F58" s="277">
        <f>Bwc*F57+mc*(F57)^2</f>
        <v>9.48940071874199</v>
      </c>
      <c r="G58" s="62" t="s">
        <v>218</v>
      </c>
      <c r="H58" s="12"/>
      <c r="I58" s="12"/>
      <c r="J58" s="12"/>
      <c r="K58" s="74"/>
    </row>
    <row r="59" spans="1:11" ht="14.25">
      <c r="A59" s="12"/>
      <c r="B59" s="63" t="s">
        <v>214</v>
      </c>
      <c r="C59" s="61">
        <f>Qhigh/C58</f>
        <v>6.695616339419141</v>
      </c>
      <c r="D59" s="12"/>
      <c r="E59" s="63" t="s">
        <v>214</v>
      </c>
      <c r="F59" s="61">
        <f>Qlow/F58</f>
        <v>5.2690366317071815</v>
      </c>
      <c r="G59" s="62" t="s">
        <v>219</v>
      </c>
      <c r="H59" s="12"/>
      <c r="I59" s="12"/>
      <c r="J59" s="12"/>
      <c r="K59" s="74"/>
    </row>
    <row r="60" spans="1:11" ht="18.75">
      <c r="A60" s="12"/>
      <c r="B60" s="63" t="s">
        <v>215</v>
      </c>
      <c r="C60" s="12">
        <f>C58/(Bwc+2*mc*C57)</f>
        <v>0.28895889209837106</v>
      </c>
      <c r="D60" s="12"/>
      <c r="E60" s="63" t="s">
        <v>215</v>
      </c>
      <c r="F60" s="12">
        <f>F58/(Bwc+2*mc*F57)</f>
        <v>0.18697046366614148</v>
      </c>
      <c r="G60" s="62" t="s">
        <v>220</v>
      </c>
      <c r="H60" s="12"/>
      <c r="I60" s="12"/>
      <c r="J60" s="12"/>
      <c r="K60" s="74"/>
    </row>
    <row r="61" spans="1:11" ht="18.75">
      <c r="A61" s="12"/>
      <c r="B61" s="63" t="s">
        <v>47</v>
      </c>
      <c r="C61" s="12">
        <f>C59/(32.2*C60)^0.5</f>
        <v>2.1950508876996055</v>
      </c>
      <c r="D61" s="12"/>
      <c r="E61" s="63" t="s">
        <v>47</v>
      </c>
      <c r="F61" s="12">
        <f>F59/(32.2*F60)^0.5</f>
        <v>2.14741894159729</v>
      </c>
      <c r="G61" s="62" t="s">
        <v>256</v>
      </c>
      <c r="H61" s="12"/>
      <c r="I61" s="12"/>
      <c r="J61" s="12"/>
      <c r="K61" s="74"/>
    </row>
    <row r="62" spans="1:11" ht="18.75">
      <c r="A62" s="12"/>
      <c r="B62" s="63" t="s">
        <v>222</v>
      </c>
      <c r="C62" s="12">
        <f>15*C55*0.03937/12</f>
        <v>6.467826439013309</v>
      </c>
      <c r="D62" s="12"/>
      <c r="E62" s="285" t="s">
        <v>48</v>
      </c>
      <c r="F62" s="68" t="s">
        <v>48</v>
      </c>
      <c r="G62" s="62" t="s">
        <v>221</v>
      </c>
      <c r="H62" s="12"/>
      <c r="I62" s="12"/>
      <c r="J62" s="12"/>
      <c r="K62" s="74"/>
    </row>
    <row r="63" spans="1:11" ht="14.25">
      <c r="A63" s="12"/>
      <c r="B63" s="12"/>
      <c r="C63" s="12"/>
      <c r="D63" s="12"/>
      <c r="E63" s="12"/>
      <c r="F63" s="12"/>
      <c r="G63" s="12"/>
      <c r="H63" s="12"/>
      <c r="I63" s="12"/>
      <c r="J63" s="12"/>
      <c r="K63" s="74"/>
    </row>
    <row r="64" spans="1:11" ht="15.75">
      <c r="A64" s="271" t="s">
        <v>275</v>
      </c>
      <c r="B64" s="63"/>
      <c r="C64" s="60"/>
      <c r="D64" s="12"/>
      <c r="E64" s="63"/>
      <c r="F64" s="60"/>
      <c r="G64" s="12"/>
      <c r="H64" s="12"/>
      <c r="I64" s="12"/>
      <c r="J64" s="12"/>
      <c r="K64" s="74"/>
    </row>
    <row r="65" spans="1:11" ht="14.25">
      <c r="A65" s="12"/>
      <c r="B65" s="63"/>
      <c r="C65" s="12"/>
      <c r="D65" s="12"/>
      <c r="E65" s="63"/>
      <c r="F65" s="12"/>
      <c r="G65" s="12"/>
      <c r="H65" s="12"/>
      <c r="I65" s="12"/>
      <c r="J65" s="12"/>
      <c r="K65" s="74"/>
    </row>
    <row r="66" spans="1:11" ht="14.25">
      <c r="A66" s="12"/>
      <c r="B66" s="592" t="s">
        <v>251</v>
      </c>
      <c r="C66" s="593"/>
      <c r="D66" s="12"/>
      <c r="E66" s="592" t="s">
        <v>252</v>
      </c>
      <c r="F66" s="593"/>
      <c r="G66" s="12"/>
      <c r="H66" s="12"/>
      <c r="I66" s="12"/>
      <c r="J66" s="12"/>
      <c r="K66" s="74"/>
    </row>
    <row r="67" spans="1:11" ht="16.5">
      <c r="A67" s="12"/>
      <c r="B67" s="79" t="s">
        <v>224</v>
      </c>
      <c r="C67" s="187">
        <v>0.7680215350043715</v>
      </c>
      <c r="D67" s="83"/>
      <c r="E67" s="79" t="s">
        <v>224</v>
      </c>
      <c r="F67" s="187">
        <v>0.48366439734759803</v>
      </c>
      <c r="G67" s="62" t="s">
        <v>276</v>
      </c>
      <c r="H67" s="12"/>
      <c r="I67" s="12"/>
      <c r="J67" s="12"/>
      <c r="K67" s="74"/>
    </row>
    <row r="68" spans="1:11" ht="18.75">
      <c r="A68" s="12"/>
      <c r="B68" s="63" t="s">
        <v>183</v>
      </c>
      <c r="C68" s="277">
        <f>((32.2/(1/(Bwc*C67+mc*C67^2)-1/(Bwc*C57+mc*C57^2)))*(C57^2/6*(3*Bwc+2*mc*C57)-C67^2/6*(3*Bwc+2*mc*C67)))^0.5</f>
        <v>98.99999944528669</v>
      </c>
      <c r="D68" s="12"/>
      <c r="E68" s="63" t="s">
        <v>183</v>
      </c>
      <c r="F68" s="277">
        <f>((32.2/(1/(Bwc*F67+mc*F67^2)-1/(Bwc*F57+mc*F57^2)))*(F57^2/6*(3*Bwc+2*mc*F57)-F67^2/6*(3*Bwc+2*mc*F67)))^0.5</f>
        <v>49.99999536872526</v>
      </c>
      <c r="G68" s="62" t="s">
        <v>226</v>
      </c>
      <c r="H68" s="12"/>
      <c r="I68" s="12"/>
      <c r="J68" s="12"/>
      <c r="K68" s="74"/>
    </row>
    <row r="69" spans="1:11" ht="18.75">
      <c r="A69" s="12"/>
      <c r="B69" s="63" t="s">
        <v>225</v>
      </c>
      <c r="C69" s="277">
        <f>Bwc*C67+mc*C67^2</f>
        <v>39.58079090667952</v>
      </c>
      <c r="D69" s="12"/>
      <c r="E69" s="63" t="s">
        <v>225</v>
      </c>
      <c r="F69" s="277">
        <f>Bwc*F67+mc*F67^2</f>
        <v>24.651082365903132</v>
      </c>
      <c r="G69" s="62" t="s">
        <v>227</v>
      </c>
      <c r="H69" s="12"/>
      <c r="I69" s="12"/>
      <c r="J69" s="12"/>
      <c r="K69" s="74"/>
    </row>
    <row r="70" spans="1:11" ht="14.25">
      <c r="A70" s="12"/>
      <c r="B70" s="12"/>
      <c r="C70" s="12"/>
      <c r="D70" s="12"/>
      <c r="E70" s="12"/>
      <c r="F70" s="12"/>
      <c r="G70" s="62"/>
      <c r="H70" s="12"/>
      <c r="I70" s="12"/>
      <c r="J70" s="12"/>
      <c r="K70" s="74"/>
    </row>
    <row r="71" spans="1:11" ht="15.75">
      <c r="A71" s="271" t="s">
        <v>50</v>
      </c>
      <c r="B71" s="63"/>
      <c r="C71" s="60"/>
      <c r="D71" s="12"/>
      <c r="E71" s="63"/>
      <c r="F71" s="60"/>
      <c r="G71" s="12"/>
      <c r="H71" s="12"/>
      <c r="I71" s="12"/>
      <c r="J71" s="12"/>
      <c r="K71" s="74"/>
    </row>
    <row r="72" spans="1:11" ht="14.25">
      <c r="A72" s="12"/>
      <c r="B72" s="63"/>
      <c r="C72" s="12"/>
      <c r="D72" s="12"/>
      <c r="E72" s="63"/>
      <c r="F72" s="12"/>
      <c r="G72" s="12"/>
      <c r="H72" s="12"/>
      <c r="I72" s="12"/>
      <c r="J72" s="12"/>
      <c r="K72" s="74"/>
    </row>
    <row r="73" spans="1:11" ht="14.25">
      <c r="A73" s="12"/>
      <c r="B73" s="592" t="s">
        <v>251</v>
      </c>
      <c r="C73" s="593"/>
      <c r="D73" s="12"/>
      <c r="E73" s="592" t="s">
        <v>252</v>
      </c>
      <c r="F73" s="593"/>
      <c r="G73" s="12"/>
      <c r="H73" s="12"/>
      <c r="I73" s="12"/>
      <c r="J73" s="12"/>
      <c r="K73" s="74"/>
    </row>
    <row r="74" spans="1:11" ht="18.75">
      <c r="A74" s="12"/>
      <c r="B74" s="63" t="s">
        <v>229</v>
      </c>
      <c r="C74" s="12">
        <f>C57+C59^2/64.4</f>
        <v>0.9884361953762008</v>
      </c>
      <c r="D74" s="12"/>
      <c r="E74" s="63" t="s">
        <v>229</v>
      </c>
      <c r="F74" s="12">
        <f>F57+F59^2/64.4</f>
        <v>0.6194672599430563</v>
      </c>
      <c r="G74" s="62" t="s">
        <v>228</v>
      </c>
      <c r="H74" s="12"/>
      <c r="I74" s="12"/>
      <c r="J74" s="12"/>
      <c r="K74" s="74"/>
    </row>
    <row r="75" spans="1:11" ht="18.75">
      <c r="A75" s="12"/>
      <c r="B75" s="63" t="s">
        <v>230</v>
      </c>
      <c r="C75" s="12">
        <f>C67+(C68/C69)^2/64.4</f>
        <v>0.8651654452693427</v>
      </c>
      <c r="D75" s="12"/>
      <c r="E75" s="63" t="s">
        <v>230</v>
      </c>
      <c r="F75" s="12">
        <f>F67+(F68/F69)^2/64.4</f>
        <v>0.5475469225960349</v>
      </c>
      <c r="G75" s="62" t="s">
        <v>250</v>
      </c>
      <c r="H75" s="12"/>
      <c r="I75" s="12"/>
      <c r="J75" s="12"/>
      <c r="K75" s="74"/>
    </row>
    <row r="76" spans="1:11" ht="18.75">
      <c r="A76" s="12"/>
      <c r="B76" s="63" t="s">
        <v>231</v>
      </c>
      <c r="C76" s="12">
        <f>(1-C75/C74)*100</f>
        <v>12.471290578340366</v>
      </c>
      <c r="D76" s="12"/>
      <c r="E76" s="63" t="s">
        <v>231</v>
      </c>
      <c r="F76" s="12">
        <f>(1-F75/F74)*100</f>
        <v>11.610030424147455</v>
      </c>
      <c r="G76" s="62" t="s">
        <v>235</v>
      </c>
      <c r="H76" s="12"/>
      <c r="I76" s="12"/>
      <c r="J76" s="12"/>
      <c r="K76" s="74"/>
    </row>
    <row r="77" spans="1:10" ht="14.25">
      <c r="A77" s="12"/>
      <c r="B77" s="12"/>
      <c r="C77" s="12"/>
      <c r="D77" s="12"/>
      <c r="E77" s="12"/>
      <c r="F77" s="12"/>
      <c r="G77" s="12"/>
      <c r="H77" s="12"/>
      <c r="I77" s="12"/>
      <c r="J77" s="12"/>
    </row>
    <row r="78" ht="15.75">
      <c r="A78" s="271" t="s">
        <v>172</v>
      </c>
    </row>
    <row r="79" ht="14.25"/>
    <row r="80" spans="1:9" ht="15">
      <c r="A80" s="602" t="s">
        <v>156</v>
      </c>
      <c r="B80" s="603"/>
      <c r="C80" s="603"/>
      <c r="D80" s="604"/>
      <c r="F80" s="602" t="s">
        <v>157</v>
      </c>
      <c r="G80" s="603"/>
      <c r="H80" s="603"/>
      <c r="I80" s="604"/>
    </row>
    <row r="81" spans="1:9" ht="15">
      <c r="A81" s="615" t="s">
        <v>148</v>
      </c>
      <c r="B81" s="605"/>
      <c r="C81" s="605" t="s">
        <v>173</v>
      </c>
      <c r="D81" s="606"/>
      <c r="F81" s="615" t="s">
        <v>148</v>
      </c>
      <c r="G81" s="605"/>
      <c r="H81" s="12"/>
      <c r="I81" s="236"/>
    </row>
    <row r="82" spans="1:11" ht="15">
      <c r="A82" s="237" t="s">
        <v>147</v>
      </c>
      <c r="B82" s="248">
        <f>ROUND(IF(Calculations!$D38&gt;Calculations!$C67,Calculations!$D38,Calculations!$C67),2)</f>
        <v>0.77</v>
      </c>
      <c r="C82" s="251" t="s">
        <v>150</v>
      </c>
      <c r="D82" s="252">
        <f>'Plan Sheet'!$C11-TAN(ATAN(Sc)/2)*'Plan Sheet'!$C10/12/2</f>
        <v>0</v>
      </c>
      <c r="E82" s="253"/>
      <c r="F82" s="254" t="s">
        <v>147</v>
      </c>
      <c r="G82" s="248">
        <f>ROUND(B82+'Plan Sheet'!C10/12,2)</f>
        <v>0.77</v>
      </c>
      <c r="H82" s="264" t="s">
        <v>176</v>
      </c>
      <c r="I82" s="255"/>
      <c r="J82" s="249">
        <f>'Plan Sheet'!$C11-TAN(ATAN(Sc)/2)*('Plan Sheet'!$C10/12+I83/12/2)</f>
        <v>0</v>
      </c>
      <c r="K82" s="262">
        <f>'Plan Sheet'!$C11-TAN(ATAN(Sc)/2)*('Plan Sheet'!$C10/12)</f>
        <v>0</v>
      </c>
    </row>
    <row r="83" spans="1:11" ht="18.75">
      <c r="A83" s="237" t="s">
        <v>143</v>
      </c>
      <c r="B83" s="248">
        <f>'Plan Sheet'!C10/12*(mc^2+1)^0.5</f>
        <v>0</v>
      </c>
      <c r="C83" s="251" t="s">
        <v>149</v>
      </c>
      <c r="D83" s="252">
        <f>'Plan Sheet'!$C12+TAN(ATAN(Sc)/2)*'Plan Sheet'!$C10/12/2+TAN(ATAN(1/2.5)/2)*'Plan Sheet'!$C10/12/2</f>
        <v>0</v>
      </c>
      <c r="E83" s="253"/>
      <c r="F83" s="254" t="s">
        <v>143</v>
      </c>
      <c r="G83" s="248">
        <f>I83/12*(mc^2+1)^0.5</f>
        <v>0</v>
      </c>
      <c r="H83" s="256" t="s">
        <v>232</v>
      </c>
      <c r="I83" s="274">
        <f>'Plan Sheet'!E14</f>
        <v>0</v>
      </c>
      <c r="J83" s="249">
        <f>'Plan Sheet'!$C12+TAN(ATAN(Sc)/2)*('Plan Sheet'!$C10/12+I83/12/2)+TAN(ATAN(1/2.5)/2)*('Plan Sheet'!$C10/12+I83/12/2)</f>
        <v>0</v>
      </c>
      <c r="K83" s="262">
        <f>'Plan Sheet'!$C12+TAN(ATAN(Sc)/2)*('Plan Sheet'!$C10/12)+TAN(ATAN(1/2.5)/2)*('Plan Sheet'!$C10/12)</f>
        <v>0</v>
      </c>
    </row>
    <row r="84" spans="1:11" ht="14.25">
      <c r="A84" s="237" t="s">
        <v>142</v>
      </c>
      <c r="B84" s="248">
        <f>(B82^2+(mc*B82)^2)^0.5</f>
        <v>1.7217723426748381</v>
      </c>
      <c r="C84" s="251" t="s">
        <v>151</v>
      </c>
      <c r="D84" s="252">
        <f>(1/Sc^2+1^2)^0.5*(Hd-'Design Data'!$D18)</f>
        <v>37.107950630558946</v>
      </c>
      <c r="E84" s="253"/>
      <c r="F84" s="254" t="s">
        <v>142</v>
      </c>
      <c r="G84" s="248">
        <f>(G82^2+(mc*G82)^2)^0.5</f>
        <v>1.7217723426748381</v>
      </c>
      <c r="I84" s="273"/>
      <c r="J84" s="249">
        <f>(1/Sc^2+1^2)^0.5*(Hd-'Design Data'!$D18)</f>
        <v>37.107950630558946</v>
      </c>
      <c r="K84" s="262">
        <f>(1/Sc^2+1^2)^0.5*(Hd-'Design Data'!$D18)</f>
        <v>37.107950630558946</v>
      </c>
    </row>
    <row r="85" spans="1:11" ht="18.75">
      <c r="A85" s="237" t="s">
        <v>144</v>
      </c>
      <c r="B85" s="248">
        <f>B84*'Plan Sheet'!C10/12</f>
        <v>0</v>
      </c>
      <c r="C85" s="251" t="s">
        <v>152</v>
      </c>
      <c r="D85" s="257">
        <f>d*(2.5^2+1^2)^0.5-TAN(ATAN(1/2.5)/2)*'Plan Sheet'!$C10/12/2/COS(ATAN(1/2.5))</f>
        <v>2.692582403567252</v>
      </c>
      <c r="E85" s="253"/>
      <c r="F85" s="254" t="s">
        <v>144</v>
      </c>
      <c r="G85" s="248">
        <f>G84*I83/12</f>
        <v>0</v>
      </c>
      <c r="H85" s="609" t="s">
        <v>174</v>
      </c>
      <c r="I85" s="610"/>
      <c r="J85" s="249">
        <f>d*(2.5^2+1^2)^0.5-TAN(ATAN(1/2.5)/2)*('Plan Sheet'!$C10/12+I83/12/2)/COS(ATAN(1/2.5))</f>
        <v>2.692582403567252</v>
      </c>
      <c r="K85" s="262">
        <f>d*(2.5^2+1^2)^0.5-TAN(ATAN(1/2.5)/2)*('Plan Sheet'!$C10/12)/COS(ATAN(1/2.5))</f>
        <v>2.692582403567252</v>
      </c>
    </row>
    <row r="86" spans="1:11" ht="18.75">
      <c r="A86" s="237" t="s">
        <v>145</v>
      </c>
      <c r="B86" s="248">
        <f>'Plan Sheet'!C10/12*mc</f>
        <v>0</v>
      </c>
      <c r="C86" s="258" t="s">
        <v>153</v>
      </c>
      <c r="D86" s="259">
        <f>SUM(D82:D85)</f>
        <v>39.8005330341262</v>
      </c>
      <c r="E86" s="253"/>
      <c r="F86" s="254" t="s">
        <v>145</v>
      </c>
      <c r="G86" s="248">
        <f>I83/12*mc</f>
        <v>0</v>
      </c>
      <c r="H86" s="258" t="s">
        <v>153</v>
      </c>
      <c r="I86" s="259">
        <f>J86</f>
        <v>39.8005330341262</v>
      </c>
      <c r="J86" s="250">
        <f>SUM(J82:J85)</f>
        <v>39.8005330341262</v>
      </c>
      <c r="K86" s="263">
        <f>SUM(K82:K85)</f>
        <v>39.8005330341262</v>
      </c>
    </row>
    <row r="87" spans="1:9" ht="18.75">
      <c r="A87" s="237" t="s">
        <v>146</v>
      </c>
      <c r="B87" s="248">
        <f>'Plan Sheet'!C10/12*(Bwc-B86+2*B83)</f>
        <v>0</v>
      </c>
      <c r="C87" s="609" t="s">
        <v>154</v>
      </c>
      <c r="D87" s="610"/>
      <c r="E87" s="253"/>
      <c r="F87" s="254" t="s">
        <v>146</v>
      </c>
      <c r="G87" s="248">
        <f>I83/12*((Bwc+2*(TAN(ATAN(1/mc)/2)*('Plan Sheet'!$C10/12)))-G86+2*G83)</f>
        <v>0</v>
      </c>
      <c r="H87" s="609" t="s">
        <v>159</v>
      </c>
      <c r="I87" s="610"/>
    </row>
    <row r="88" spans="1:9" ht="16.5">
      <c r="A88" s="240" t="s">
        <v>155</v>
      </c>
      <c r="B88" s="260">
        <f>B87+2*B85</f>
        <v>0</v>
      </c>
      <c r="C88" s="611">
        <f>B88*D86/27</f>
        <v>0</v>
      </c>
      <c r="D88" s="612"/>
      <c r="E88" s="253"/>
      <c r="F88" s="261" t="s">
        <v>155</v>
      </c>
      <c r="G88" s="260">
        <f>G87+2*G85</f>
        <v>0</v>
      </c>
      <c r="H88" s="611">
        <f>G88*I86/27</f>
        <v>0</v>
      </c>
      <c r="I88" s="612"/>
    </row>
    <row r="89" ht="14.25"/>
    <row r="90" spans="1:6" ht="15">
      <c r="A90" s="602" t="s">
        <v>158</v>
      </c>
      <c r="B90" s="603"/>
      <c r="C90" s="603"/>
      <c r="D90" s="604"/>
      <c r="F90" s="266" t="s">
        <v>177</v>
      </c>
    </row>
    <row r="91" spans="1:6" ht="15">
      <c r="A91" s="615" t="s">
        <v>160</v>
      </c>
      <c r="B91" s="508"/>
      <c r="C91" s="613" t="s">
        <v>175</v>
      </c>
      <c r="D91" s="614"/>
      <c r="F91" s="246" t="s">
        <v>178</v>
      </c>
    </row>
    <row r="92" spans="1:6" ht="15">
      <c r="A92" s="237" t="s">
        <v>162</v>
      </c>
      <c r="B92" s="248">
        <f>2*(mc^2+1)^0.5*G82</f>
        <v>3.4435446853496763</v>
      </c>
      <c r="C92" s="238" t="s">
        <v>153</v>
      </c>
      <c r="D92" s="239">
        <f>K86</f>
        <v>39.8005330341262</v>
      </c>
      <c r="F92" s="246" t="s">
        <v>179</v>
      </c>
    </row>
    <row r="93" spans="1:6" ht="15">
      <c r="A93" s="237" t="s">
        <v>161</v>
      </c>
      <c r="B93" s="248">
        <f>Bwc+2*(TAN(ATAN(1/mc)/2)*'Plan Sheet'!$C10/12)</f>
        <v>50</v>
      </c>
      <c r="C93" s="605" t="s">
        <v>163</v>
      </c>
      <c r="D93" s="606"/>
      <c r="F93" s="265" t="s">
        <v>180</v>
      </c>
    </row>
    <row r="94" spans="1:6" ht="15">
      <c r="A94" s="240" t="s">
        <v>153</v>
      </c>
      <c r="B94" s="260">
        <f>B92+B93</f>
        <v>53.44354468534968</v>
      </c>
      <c r="C94" s="607">
        <f>B94*D92/9</f>
        <v>236.34239619000658</v>
      </c>
      <c r="D94" s="608"/>
      <c r="F94" s="265" t="s">
        <v>236</v>
      </c>
    </row>
    <row r="95" spans="1:4" ht="14.25">
      <c r="A95" s="12"/>
      <c r="B95" s="12"/>
      <c r="C95" s="12"/>
      <c r="D95" s="12"/>
    </row>
    <row r="96" spans="1:4" ht="14.25" hidden="1">
      <c r="A96" s="12"/>
      <c r="B96" s="12"/>
      <c r="C96" s="12"/>
      <c r="D96" s="12"/>
    </row>
    <row r="97" ht="14.25" hidden="1"/>
    <row r="98" ht="14.25" hidden="1"/>
    <row r="99" ht="14.25" hidden="1"/>
  </sheetData>
  <sheetProtection password="CB73" sheet="1" objects="1" scenarios="1"/>
  <mergeCells count="42">
    <mergeCell ref="B37:C37"/>
    <mergeCell ref="A91:B91"/>
    <mergeCell ref="C88:D88"/>
    <mergeCell ref="C87:D87"/>
    <mergeCell ref="A90:D90"/>
    <mergeCell ref="A81:B81"/>
    <mergeCell ref="B53:C53"/>
    <mergeCell ref="C93:D93"/>
    <mergeCell ref="C94:D94"/>
    <mergeCell ref="F80:I80"/>
    <mergeCell ref="H87:I87"/>
    <mergeCell ref="H88:I88"/>
    <mergeCell ref="H85:I85"/>
    <mergeCell ref="C91:D91"/>
    <mergeCell ref="C81:D81"/>
    <mergeCell ref="F81:G81"/>
    <mergeCell ref="E53:F53"/>
    <mergeCell ref="D6:E6"/>
    <mergeCell ref="B44:C44"/>
    <mergeCell ref="A80:D80"/>
    <mergeCell ref="B73:C73"/>
    <mergeCell ref="E73:F73"/>
    <mergeCell ref="E66:F66"/>
    <mergeCell ref="B66:C66"/>
    <mergeCell ref="B10:C10"/>
    <mergeCell ref="B17:C17"/>
    <mergeCell ref="B28:C28"/>
    <mergeCell ref="A7:J8"/>
    <mergeCell ref="E17:F17"/>
    <mergeCell ref="E28:F28"/>
    <mergeCell ref="A1:J1"/>
    <mergeCell ref="E10:F10"/>
    <mergeCell ref="A2:J3"/>
    <mergeCell ref="H4:I4"/>
    <mergeCell ref="C5:E5"/>
    <mergeCell ref="H5:I5"/>
    <mergeCell ref="C4:F4"/>
    <mergeCell ref="O23:P23"/>
    <mergeCell ref="O27:R27"/>
    <mergeCell ref="R12:S12"/>
    <mergeCell ref="A14:B14"/>
    <mergeCell ref="O22:S22"/>
  </mergeCells>
  <printOptions horizontalCentered="1"/>
  <pageMargins left="0.75" right="0.5" top="0.75" bottom="0.5" header="0.5" footer="0.5"/>
  <pageSetup firstPageNumber="2" useFirstPageNumber="1" fitToHeight="0" horizontalDpi="600" verticalDpi="600" orientation="portrait" scale="83" r:id="rId2"/>
  <headerFooter alignWithMargins="0">
    <oddHeader>&amp;LRock_Chute.xls&amp;RPage &amp;P of 3</oddHeader>
  </headerFooter>
  <rowBreaks count="1" manualBreakCount="1">
    <brk id="50" max="255" man="1"/>
  </rowBreaks>
  <drawing r:id="rId1"/>
</worksheet>
</file>

<file path=xl/worksheets/sheet5.xml><?xml version="1.0" encoding="utf-8"?>
<worksheet xmlns="http://schemas.openxmlformats.org/spreadsheetml/2006/main" xmlns:r="http://schemas.openxmlformats.org/officeDocument/2006/relationships">
  <sheetPr codeName="Sheet3"/>
  <dimension ref="A1:K192"/>
  <sheetViews>
    <sheetView view="pageBreakPreview" zoomScaleNormal="75" zoomScaleSheetLayoutView="100" zoomScalePageLayoutView="0" workbookViewId="0" topLeftCell="A1">
      <selection activeCell="A10" sqref="A10:D11"/>
    </sheetView>
  </sheetViews>
  <sheetFormatPr defaultColWidth="0.12890625" defaultRowHeight="14.25" zeroHeight="1"/>
  <cols>
    <col min="1" max="1" width="11.625" style="0" customWidth="1"/>
    <col min="2" max="8" width="10.25390625" style="0" customWidth="1"/>
    <col min="9" max="9" width="12.50390625" style="0" customWidth="1"/>
    <col min="10" max="10" width="8.625" style="0" customWidth="1"/>
    <col min="11" max="11" width="18.625" style="0" customWidth="1"/>
    <col min="12" max="255" width="10.25390625" style="0" hidden="1" customWidth="1"/>
  </cols>
  <sheetData>
    <row r="1" spans="1:11" ht="12" customHeight="1">
      <c r="A1" s="616" t="s">
        <v>388</v>
      </c>
      <c r="B1" s="617"/>
      <c r="C1" s="617"/>
      <c r="D1" s="617"/>
      <c r="E1" s="617"/>
      <c r="F1" s="617"/>
      <c r="G1" s="617"/>
      <c r="H1" s="617"/>
      <c r="I1" s="617"/>
      <c r="J1" s="617"/>
      <c r="K1" s="197"/>
    </row>
    <row r="2" spans="1:11" ht="12" customHeight="1">
      <c r="A2" s="617"/>
      <c r="B2" s="617"/>
      <c r="C2" s="617"/>
      <c r="D2" s="617"/>
      <c r="E2" s="617"/>
      <c r="F2" s="617"/>
      <c r="G2" s="617"/>
      <c r="H2" s="617"/>
      <c r="I2" s="617"/>
      <c r="J2" s="617"/>
      <c r="K2" s="197"/>
    </row>
    <row r="3" spans="1:11" ht="12" customHeight="1">
      <c r="A3" s="617"/>
      <c r="B3" s="617"/>
      <c r="C3" s="617"/>
      <c r="D3" s="617"/>
      <c r="E3" s="617"/>
      <c r="F3" s="617"/>
      <c r="G3" s="617"/>
      <c r="H3" s="617"/>
      <c r="I3" s="617"/>
      <c r="J3" s="617"/>
      <c r="K3" s="197"/>
    </row>
    <row r="4" spans="1:11" ht="14.25">
      <c r="A4" s="635" t="s">
        <v>402</v>
      </c>
      <c r="B4" s="636"/>
      <c r="C4" s="636"/>
      <c r="D4" s="636"/>
      <c r="E4" s="636"/>
      <c r="F4" s="636"/>
      <c r="G4" s="636"/>
      <c r="H4" s="636"/>
      <c r="I4" s="636"/>
      <c r="J4" s="636"/>
      <c r="K4" s="197"/>
    </row>
    <row r="5" spans="1:11" ht="14.25">
      <c r="A5" s="636"/>
      <c r="B5" s="636"/>
      <c r="C5" s="636"/>
      <c r="D5" s="636"/>
      <c r="E5" s="636"/>
      <c r="F5" s="636"/>
      <c r="G5" s="636"/>
      <c r="H5" s="636"/>
      <c r="I5" s="636"/>
      <c r="J5" s="636"/>
      <c r="K5" s="197"/>
    </row>
    <row r="6" spans="1:11" ht="14.25">
      <c r="A6" s="636"/>
      <c r="B6" s="636"/>
      <c r="C6" s="636"/>
      <c r="D6" s="636"/>
      <c r="E6" s="636"/>
      <c r="F6" s="636"/>
      <c r="G6" s="636"/>
      <c r="H6" s="636"/>
      <c r="I6" s="636"/>
      <c r="J6" s="636"/>
      <c r="K6" s="197"/>
    </row>
    <row r="7" spans="1:11" ht="14.25">
      <c r="A7" s="636"/>
      <c r="B7" s="636"/>
      <c r="C7" s="636"/>
      <c r="D7" s="636"/>
      <c r="E7" s="636"/>
      <c r="F7" s="636"/>
      <c r="G7" s="636"/>
      <c r="H7" s="636"/>
      <c r="I7" s="636"/>
      <c r="J7" s="636"/>
      <c r="K7" s="197"/>
    </row>
    <row r="8" spans="1:11" ht="14.25">
      <c r="A8" s="636"/>
      <c r="B8" s="636"/>
      <c r="C8" s="636"/>
      <c r="D8" s="636"/>
      <c r="E8" s="636"/>
      <c r="F8" s="636"/>
      <c r="G8" s="636"/>
      <c r="H8" s="636"/>
      <c r="I8" s="636"/>
      <c r="J8" s="636"/>
      <c r="K8" s="197"/>
    </row>
    <row r="9" spans="1:11" ht="21" customHeight="1">
      <c r="A9" s="637"/>
      <c r="B9" s="637"/>
      <c r="C9" s="637"/>
      <c r="D9" s="637"/>
      <c r="E9" s="637"/>
      <c r="F9" s="637"/>
      <c r="G9" s="637"/>
      <c r="H9" s="637"/>
      <c r="I9" s="637"/>
      <c r="J9" s="637"/>
      <c r="K9" s="197"/>
    </row>
    <row r="10" spans="1:11" ht="19.5" customHeight="1">
      <c r="A10" s="626" t="s">
        <v>241</v>
      </c>
      <c r="B10" s="627"/>
      <c r="C10" s="627"/>
      <c r="D10" s="628"/>
      <c r="E10" s="247"/>
      <c r="F10" s="247"/>
      <c r="G10" s="247"/>
      <c r="H10" s="247"/>
      <c r="I10" s="247"/>
      <c r="J10" s="247"/>
      <c r="K10" s="197"/>
    </row>
    <row r="11" spans="1:11" ht="19.5" customHeight="1">
      <c r="A11" s="628"/>
      <c r="B11" s="628"/>
      <c r="C11" s="628"/>
      <c r="D11" s="628"/>
      <c r="E11" s="247"/>
      <c r="F11" s="247"/>
      <c r="G11" s="247"/>
      <c r="H11" s="247"/>
      <c r="I11" s="247"/>
      <c r="J11" s="247"/>
      <c r="K11" s="197"/>
    </row>
    <row r="12" spans="1:11" s="385" customFormat="1" ht="18" customHeight="1">
      <c r="A12" s="275" t="s">
        <v>345</v>
      </c>
      <c r="B12" s="382" t="s">
        <v>14</v>
      </c>
      <c r="C12" s="213"/>
      <c r="D12" s="213"/>
      <c r="E12" s="213"/>
      <c r="F12" s="213"/>
      <c r="G12" s="213"/>
      <c r="H12" s="213"/>
      <c r="I12" s="213"/>
      <c r="J12" s="213"/>
      <c r="K12" s="214"/>
    </row>
    <row r="13" spans="1:11" s="385" customFormat="1" ht="18" customHeight="1">
      <c r="A13" s="275" t="s">
        <v>346</v>
      </c>
      <c r="B13" s="382" t="s">
        <v>278</v>
      </c>
      <c r="C13" s="213"/>
      <c r="D13" s="213"/>
      <c r="E13" s="213"/>
      <c r="F13" s="213"/>
      <c r="G13" s="213"/>
      <c r="H13" s="213"/>
      <c r="I13" s="213"/>
      <c r="J13" s="213"/>
      <c r="K13" s="214"/>
    </row>
    <row r="14" spans="1:11" s="385" customFormat="1" ht="18" customHeight="1">
      <c r="A14" s="275" t="s">
        <v>237</v>
      </c>
      <c r="B14" s="382" t="s">
        <v>11</v>
      </c>
      <c r="C14" s="383"/>
      <c r="D14" s="213"/>
      <c r="E14" s="213"/>
      <c r="F14" s="213"/>
      <c r="G14" s="213"/>
      <c r="H14" s="213"/>
      <c r="I14" s="213"/>
      <c r="J14" s="213"/>
      <c r="K14" s="214"/>
    </row>
    <row r="15" spans="1:11" s="385" customFormat="1" ht="18" customHeight="1">
      <c r="A15" s="275" t="s">
        <v>239</v>
      </c>
      <c r="B15" s="382" t="s">
        <v>347</v>
      </c>
      <c r="C15" s="383"/>
      <c r="D15" s="213"/>
      <c r="E15" s="213"/>
      <c r="F15" s="213"/>
      <c r="G15" s="213"/>
      <c r="H15" s="213"/>
      <c r="I15" s="213"/>
      <c r="J15" s="213"/>
      <c r="K15" s="214"/>
    </row>
    <row r="16" spans="1:11" s="385" customFormat="1" ht="18" customHeight="1">
      <c r="A16" s="275" t="s">
        <v>348</v>
      </c>
      <c r="B16" s="382" t="s">
        <v>349</v>
      </c>
      <c r="C16" s="383"/>
      <c r="D16" s="213"/>
      <c r="E16" s="213"/>
      <c r="F16" s="213"/>
      <c r="G16" s="213"/>
      <c r="H16" s="213"/>
      <c r="I16" s="213"/>
      <c r="J16" s="213"/>
      <c r="K16" s="214"/>
    </row>
    <row r="17" spans="1:11" s="385" customFormat="1" ht="18" customHeight="1">
      <c r="A17" s="275"/>
      <c r="B17" s="382" t="s">
        <v>397</v>
      </c>
      <c r="C17" s="383"/>
      <c r="D17" s="213"/>
      <c r="E17" s="213"/>
      <c r="F17" s="213"/>
      <c r="G17" s="213"/>
      <c r="H17" s="213"/>
      <c r="I17" s="213"/>
      <c r="J17" s="213"/>
      <c r="K17" s="214"/>
    </row>
    <row r="18" spans="1:11" s="385" customFormat="1" ht="18" customHeight="1">
      <c r="A18" s="275"/>
      <c r="B18" s="382" t="s">
        <v>398</v>
      </c>
      <c r="C18" s="383"/>
      <c r="D18" s="213"/>
      <c r="E18" s="213"/>
      <c r="F18" s="213"/>
      <c r="G18" s="213"/>
      <c r="H18" s="213"/>
      <c r="I18" s="213"/>
      <c r="J18" s="213"/>
      <c r="K18" s="214"/>
    </row>
    <row r="19" spans="1:11" s="385" customFormat="1" ht="18" customHeight="1">
      <c r="A19" s="275" t="s">
        <v>350</v>
      </c>
      <c r="B19" s="382" t="s">
        <v>382</v>
      </c>
      <c r="C19" s="383"/>
      <c r="D19" s="213"/>
      <c r="E19" s="213"/>
      <c r="F19" s="213"/>
      <c r="G19" s="213"/>
      <c r="H19" s="213"/>
      <c r="I19" s="213"/>
      <c r="J19" s="213"/>
      <c r="K19" s="214"/>
    </row>
    <row r="20" spans="1:11" s="385" customFormat="1" ht="18" customHeight="1">
      <c r="A20" s="275" t="s">
        <v>351</v>
      </c>
      <c r="B20" s="382" t="s">
        <v>383</v>
      </c>
      <c r="C20" s="383"/>
      <c r="D20" s="213"/>
      <c r="E20" s="213"/>
      <c r="F20" s="213"/>
      <c r="G20" s="213"/>
      <c r="H20" s="213"/>
      <c r="I20" s="213"/>
      <c r="J20" s="213"/>
      <c r="K20" s="214"/>
    </row>
    <row r="21" spans="1:11" s="385" customFormat="1" ht="18" customHeight="1">
      <c r="A21" s="275" t="s">
        <v>352</v>
      </c>
      <c r="B21" s="382" t="s">
        <v>15</v>
      </c>
      <c r="C21" s="383"/>
      <c r="D21" s="213"/>
      <c r="E21" s="213"/>
      <c r="F21" s="213"/>
      <c r="G21" s="213"/>
      <c r="H21" s="213"/>
      <c r="I21" s="213"/>
      <c r="J21" s="213"/>
      <c r="K21" s="214"/>
    </row>
    <row r="22" spans="1:11" s="385" customFormat="1" ht="18" customHeight="1">
      <c r="A22" s="275" t="s">
        <v>46</v>
      </c>
      <c r="B22" s="382" t="s">
        <v>314</v>
      </c>
      <c r="C22" s="383"/>
      <c r="D22" s="213"/>
      <c r="E22" s="213"/>
      <c r="F22" s="213"/>
      <c r="G22" s="213"/>
      <c r="H22" s="213"/>
      <c r="I22" s="213"/>
      <c r="J22" s="213"/>
      <c r="K22" s="214"/>
    </row>
    <row r="23" spans="1:11" s="385" customFormat="1" ht="18" customHeight="1">
      <c r="A23" s="275" t="s">
        <v>353</v>
      </c>
      <c r="B23" s="382" t="s">
        <v>384</v>
      </c>
      <c r="C23" s="383"/>
      <c r="D23" s="213"/>
      <c r="E23" s="213"/>
      <c r="F23" s="213"/>
      <c r="G23" s="213"/>
      <c r="H23" s="213"/>
      <c r="I23" s="213"/>
      <c r="J23" s="213"/>
      <c r="K23" s="214"/>
    </row>
    <row r="24" spans="1:11" s="385" customFormat="1" ht="18" customHeight="1">
      <c r="A24" s="275"/>
      <c r="B24" s="382" t="s">
        <v>315</v>
      </c>
      <c r="C24" s="383"/>
      <c r="D24" s="213"/>
      <c r="E24" s="213"/>
      <c r="F24" s="213"/>
      <c r="G24" s="213"/>
      <c r="H24" s="213"/>
      <c r="I24" s="213"/>
      <c r="J24" s="213"/>
      <c r="K24" s="214"/>
    </row>
    <row r="25" spans="1:11" s="385" customFormat="1" ht="18" customHeight="1">
      <c r="A25" s="275" t="s">
        <v>354</v>
      </c>
      <c r="B25" s="382" t="s">
        <v>355</v>
      </c>
      <c r="C25" s="383"/>
      <c r="D25" s="213"/>
      <c r="E25" s="213"/>
      <c r="F25" s="213"/>
      <c r="G25" s="213"/>
      <c r="H25" s="213"/>
      <c r="I25" s="213"/>
      <c r="J25" s="213"/>
      <c r="K25" s="214"/>
    </row>
    <row r="26" spans="1:11" s="385" customFormat="1" ht="18" customHeight="1">
      <c r="A26" s="275"/>
      <c r="B26" s="382" t="s">
        <v>356</v>
      </c>
      <c r="C26" s="383"/>
      <c r="D26" s="213"/>
      <c r="E26" s="213"/>
      <c r="F26" s="213"/>
      <c r="G26" s="213"/>
      <c r="H26" s="213"/>
      <c r="I26" s="213"/>
      <c r="J26" s="213"/>
      <c r="K26" s="214"/>
    </row>
    <row r="27" spans="1:11" s="385" customFormat="1" ht="18" customHeight="1">
      <c r="A27" s="275"/>
      <c r="B27" s="382" t="s">
        <v>357</v>
      </c>
      <c r="C27" s="383"/>
      <c r="D27" s="213"/>
      <c r="E27" s="213"/>
      <c r="F27" s="213"/>
      <c r="G27" s="213"/>
      <c r="H27" s="213"/>
      <c r="I27" s="213"/>
      <c r="J27" s="213"/>
      <c r="K27" s="214"/>
    </row>
    <row r="28" spans="1:11" s="385" customFormat="1" ht="18" customHeight="1">
      <c r="A28" s="275" t="s">
        <v>358</v>
      </c>
      <c r="B28" s="382" t="s">
        <v>16</v>
      </c>
      <c r="C28" s="383"/>
      <c r="D28" s="213"/>
      <c r="E28" s="213"/>
      <c r="F28" s="213"/>
      <c r="G28" s="213"/>
      <c r="H28" s="213"/>
      <c r="I28" s="213"/>
      <c r="J28" s="213"/>
      <c r="K28" s="214"/>
    </row>
    <row r="29" spans="1:11" s="385" customFormat="1" ht="18" customHeight="1">
      <c r="A29" s="275" t="s">
        <v>359</v>
      </c>
      <c r="B29" s="382" t="s">
        <v>360</v>
      </c>
      <c r="C29" s="383"/>
      <c r="D29" s="213"/>
      <c r="E29" s="213"/>
      <c r="F29" s="213"/>
      <c r="G29" s="213"/>
      <c r="H29" s="213"/>
      <c r="I29" s="213"/>
      <c r="J29" s="213"/>
      <c r="K29" s="214"/>
    </row>
    <row r="30" spans="1:11" s="385" customFormat="1" ht="18" customHeight="1">
      <c r="A30" s="275" t="s">
        <v>361</v>
      </c>
      <c r="B30" s="382" t="s">
        <v>17</v>
      </c>
      <c r="C30" s="383"/>
      <c r="D30" s="213"/>
      <c r="E30" s="213"/>
      <c r="F30" s="213"/>
      <c r="G30" s="213"/>
      <c r="H30" s="213"/>
      <c r="I30" s="213"/>
      <c r="J30" s="213"/>
      <c r="K30" s="214"/>
    </row>
    <row r="31" spans="1:11" s="385" customFormat="1" ht="18" customHeight="1">
      <c r="A31" s="275" t="s">
        <v>362</v>
      </c>
      <c r="B31" s="382" t="s">
        <v>18</v>
      </c>
      <c r="C31" s="383"/>
      <c r="D31" s="213"/>
      <c r="E31" s="213"/>
      <c r="F31" s="213"/>
      <c r="G31" s="213"/>
      <c r="H31" s="213"/>
      <c r="I31" s="213"/>
      <c r="J31" s="213"/>
      <c r="K31" s="214"/>
    </row>
    <row r="32" spans="1:11" s="385" customFormat="1" ht="18" customHeight="1">
      <c r="A32" s="275" t="s">
        <v>363</v>
      </c>
      <c r="B32" s="382" t="s">
        <v>364</v>
      </c>
      <c r="C32" s="383"/>
      <c r="D32" s="213"/>
      <c r="E32" s="213"/>
      <c r="F32" s="213"/>
      <c r="G32" s="213"/>
      <c r="H32" s="213"/>
      <c r="I32" s="213"/>
      <c r="J32" s="213"/>
      <c r="K32" s="214"/>
    </row>
    <row r="33" spans="1:11" s="385" customFormat="1" ht="18" customHeight="1">
      <c r="A33" s="275" t="s">
        <v>365</v>
      </c>
      <c r="B33" s="382" t="s">
        <v>366</v>
      </c>
      <c r="C33" s="383"/>
      <c r="D33" s="213"/>
      <c r="E33" s="213"/>
      <c r="F33" s="213"/>
      <c r="G33" s="213"/>
      <c r="H33" s="213"/>
      <c r="I33" s="213"/>
      <c r="J33" s="213"/>
      <c r="K33" s="214"/>
    </row>
    <row r="34" spans="1:11" s="385" customFormat="1" ht="18" customHeight="1">
      <c r="A34" s="275" t="s">
        <v>238</v>
      </c>
      <c r="B34" s="382" t="s">
        <v>21</v>
      </c>
      <c r="C34" s="383"/>
      <c r="D34" s="213"/>
      <c r="E34" s="213"/>
      <c r="F34" s="213"/>
      <c r="G34" s="213"/>
      <c r="H34" s="213"/>
      <c r="I34" s="213"/>
      <c r="J34" s="213"/>
      <c r="K34" s="214"/>
    </row>
    <row r="35" spans="1:11" s="385" customFormat="1" ht="18" customHeight="1">
      <c r="A35" s="275" t="s">
        <v>44</v>
      </c>
      <c r="B35" s="382" t="s">
        <v>399</v>
      </c>
      <c r="C35" s="383"/>
      <c r="D35" s="213"/>
      <c r="E35" s="213"/>
      <c r="F35" s="213"/>
      <c r="G35" s="213"/>
      <c r="H35" s="213"/>
      <c r="I35" s="213"/>
      <c r="J35" s="213"/>
      <c r="K35" s="214"/>
    </row>
    <row r="36" spans="1:11" s="385" customFormat="1" ht="18" customHeight="1">
      <c r="A36" s="275"/>
      <c r="B36" s="382" t="s">
        <v>401</v>
      </c>
      <c r="C36" s="383"/>
      <c r="D36" s="213"/>
      <c r="E36" s="213"/>
      <c r="F36" s="213"/>
      <c r="G36" s="213"/>
      <c r="H36" s="213"/>
      <c r="I36" s="213"/>
      <c r="J36" s="213"/>
      <c r="K36" s="214"/>
    </row>
    <row r="37" spans="1:11" s="385" customFormat="1" ht="18" customHeight="1">
      <c r="A37" s="275"/>
      <c r="B37" s="382" t="s">
        <v>400</v>
      </c>
      <c r="C37" s="383"/>
      <c r="D37" s="213"/>
      <c r="E37" s="213"/>
      <c r="F37" s="213"/>
      <c r="G37" s="213"/>
      <c r="H37" s="213"/>
      <c r="I37" s="213"/>
      <c r="J37" s="213"/>
      <c r="K37" s="214"/>
    </row>
    <row r="38" spans="1:11" s="385" customFormat="1" ht="18" customHeight="1">
      <c r="A38" s="275" t="s">
        <v>243</v>
      </c>
      <c r="B38" s="382" t="s">
        <v>261</v>
      </c>
      <c r="C38" s="383"/>
      <c r="D38" s="638" t="s">
        <v>385</v>
      </c>
      <c r="E38" s="639"/>
      <c r="F38" s="639"/>
      <c r="G38" s="639"/>
      <c r="H38" s="639"/>
      <c r="I38" s="639"/>
      <c r="J38" s="640"/>
      <c r="K38" s="214"/>
    </row>
    <row r="39" spans="1:11" s="385" customFormat="1" ht="20.25" customHeight="1">
      <c r="A39" s="275" t="s">
        <v>23</v>
      </c>
      <c r="B39" s="382" t="s">
        <v>262</v>
      </c>
      <c r="C39" s="383"/>
      <c r="D39" s="639"/>
      <c r="E39" s="639"/>
      <c r="F39" s="639"/>
      <c r="G39" s="639"/>
      <c r="H39" s="639"/>
      <c r="I39" s="639"/>
      <c r="J39" s="640"/>
      <c r="K39" s="214"/>
    </row>
    <row r="40" spans="1:11" s="385" customFormat="1" ht="18" customHeight="1">
      <c r="A40" s="275" t="s">
        <v>367</v>
      </c>
      <c r="B40" s="382" t="s">
        <v>19</v>
      </c>
      <c r="C40" s="383"/>
      <c r="D40" s="213"/>
      <c r="E40" s="213"/>
      <c r="F40" s="213"/>
      <c r="G40" s="213"/>
      <c r="H40" s="213"/>
      <c r="I40" s="213"/>
      <c r="J40" s="213"/>
      <c r="K40" s="214"/>
    </row>
    <row r="41" spans="1:11" s="385" customFormat="1" ht="18" customHeight="1">
      <c r="A41" s="275" t="s">
        <v>368</v>
      </c>
      <c r="B41" s="382" t="s">
        <v>369</v>
      </c>
      <c r="C41" s="383"/>
      <c r="D41" s="213"/>
      <c r="E41" s="213"/>
      <c r="F41" s="213"/>
      <c r="G41" s="213"/>
      <c r="H41" s="213"/>
      <c r="I41" s="213"/>
      <c r="J41" s="213"/>
      <c r="K41" s="214"/>
    </row>
    <row r="42" spans="1:11" s="385" customFormat="1" ht="18" customHeight="1">
      <c r="A42" s="275" t="s">
        <v>33</v>
      </c>
      <c r="B42" s="382" t="s">
        <v>370</v>
      </c>
      <c r="C42" s="383"/>
      <c r="D42" s="213"/>
      <c r="E42" s="213"/>
      <c r="F42" s="213"/>
      <c r="G42" s="213"/>
      <c r="H42" s="213"/>
      <c r="I42" s="213"/>
      <c r="J42" s="213"/>
      <c r="K42" s="214"/>
    </row>
    <row r="43" spans="1:11" s="385" customFormat="1" ht="18" customHeight="1">
      <c r="A43" s="275" t="s">
        <v>242</v>
      </c>
      <c r="B43" s="382" t="s">
        <v>371</v>
      </c>
      <c r="C43" s="383"/>
      <c r="D43" s="213"/>
      <c r="E43" s="213"/>
      <c r="F43" s="213"/>
      <c r="G43" s="213"/>
      <c r="H43" s="213"/>
      <c r="I43" s="213"/>
      <c r="J43" s="213"/>
      <c r="K43" s="214"/>
    </row>
    <row r="44" spans="1:11" s="385" customFormat="1" ht="18" customHeight="1">
      <c r="A44" s="275" t="s">
        <v>372</v>
      </c>
      <c r="B44" s="382" t="s">
        <v>255</v>
      </c>
      <c r="C44" s="383"/>
      <c r="D44" s="213"/>
      <c r="E44" s="213"/>
      <c r="F44" s="213"/>
      <c r="G44" s="213"/>
      <c r="H44" s="213"/>
      <c r="I44" s="213"/>
      <c r="J44" s="213"/>
      <c r="K44" s="214"/>
    </row>
    <row r="45" spans="1:11" s="385" customFormat="1" ht="18" customHeight="1">
      <c r="A45" s="275"/>
      <c r="B45" s="382" t="s">
        <v>12</v>
      </c>
      <c r="C45" s="383"/>
      <c r="D45" s="213"/>
      <c r="E45" s="213"/>
      <c r="F45" s="213"/>
      <c r="G45" s="213"/>
      <c r="H45" s="213"/>
      <c r="I45" s="213"/>
      <c r="J45" s="213"/>
      <c r="K45" s="214"/>
    </row>
    <row r="46" spans="1:11" s="385" customFormat="1" ht="18" customHeight="1">
      <c r="A46" s="275" t="s">
        <v>240</v>
      </c>
      <c r="B46" s="382" t="s">
        <v>373</v>
      </c>
      <c r="C46" s="383"/>
      <c r="D46" s="213"/>
      <c r="E46" s="213"/>
      <c r="F46" s="213"/>
      <c r="G46" s="213"/>
      <c r="H46" s="213"/>
      <c r="I46" s="213"/>
      <c r="J46" s="213"/>
      <c r="K46" s="214"/>
    </row>
    <row r="47" spans="1:11" s="385" customFormat="1" ht="18" customHeight="1">
      <c r="A47" s="275" t="s">
        <v>374</v>
      </c>
      <c r="B47" s="382" t="s">
        <v>375</v>
      </c>
      <c r="C47" s="383"/>
      <c r="D47" s="213"/>
      <c r="E47" s="213"/>
      <c r="F47" s="213"/>
      <c r="G47" s="213"/>
      <c r="H47" s="213"/>
      <c r="I47" s="213"/>
      <c r="J47" s="213"/>
      <c r="K47" s="214"/>
    </row>
    <row r="48" spans="1:11" s="385" customFormat="1" ht="18" customHeight="1">
      <c r="A48" s="275" t="s">
        <v>376</v>
      </c>
      <c r="B48" s="382" t="s">
        <v>13</v>
      </c>
      <c r="C48" s="383"/>
      <c r="D48" s="213"/>
      <c r="E48" s="213"/>
      <c r="F48" s="213"/>
      <c r="G48" s="213"/>
      <c r="H48" s="213"/>
      <c r="I48" s="213"/>
      <c r="J48" s="213"/>
      <c r="K48" s="214"/>
    </row>
    <row r="49" spans="1:11" s="385" customFormat="1" ht="18" customHeight="1">
      <c r="A49" s="275"/>
      <c r="B49" s="382" t="s">
        <v>377</v>
      </c>
      <c r="C49" s="383"/>
      <c r="D49" s="213"/>
      <c r="E49" s="213"/>
      <c r="F49" s="213"/>
      <c r="G49" s="213"/>
      <c r="H49" s="213"/>
      <c r="I49" s="213"/>
      <c r="J49" s="213"/>
      <c r="K49" s="214"/>
    </row>
    <row r="50" spans="1:11" s="385" customFormat="1" ht="30.75" customHeight="1">
      <c r="A50" s="644" t="s">
        <v>386</v>
      </c>
      <c r="B50" s="645"/>
      <c r="C50" s="383"/>
      <c r="D50" s="213"/>
      <c r="E50" s="213"/>
      <c r="F50" s="213"/>
      <c r="G50" s="213"/>
      <c r="H50" s="213"/>
      <c r="I50" s="386"/>
      <c r="J50" s="213"/>
      <c r="K50" s="214"/>
    </row>
    <row r="51" spans="1:11" s="385" customFormat="1" ht="18" customHeight="1">
      <c r="A51" s="275" t="s">
        <v>378</v>
      </c>
      <c r="B51" s="382" t="s">
        <v>316</v>
      </c>
      <c r="C51" s="383"/>
      <c r="D51" s="213"/>
      <c r="E51" s="213"/>
      <c r="F51" s="213"/>
      <c r="G51" s="213"/>
      <c r="H51" s="213"/>
      <c r="I51" s="213"/>
      <c r="J51" s="213"/>
      <c r="K51" s="214"/>
    </row>
    <row r="52" spans="1:11" s="385" customFormat="1" ht="18" customHeight="1">
      <c r="A52" s="275" t="s">
        <v>379</v>
      </c>
      <c r="B52" s="382" t="s">
        <v>380</v>
      </c>
      <c r="C52" s="383"/>
      <c r="D52" s="213"/>
      <c r="E52" s="213"/>
      <c r="F52" s="213"/>
      <c r="G52" s="213"/>
      <c r="H52" s="213"/>
      <c r="I52" s="213"/>
      <c r="J52" s="213"/>
      <c r="K52" s="214"/>
    </row>
    <row r="53" spans="1:11" s="385" customFormat="1" ht="18" customHeight="1">
      <c r="A53" s="275"/>
      <c r="B53" s="382" t="s">
        <v>254</v>
      </c>
      <c r="C53" s="383"/>
      <c r="D53" s="213"/>
      <c r="E53" s="213"/>
      <c r="F53" s="213"/>
      <c r="G53" s="213"/>
      <c r="H53" s="213"/>
      <c r="I53" s="213"/>
      <c r="J53" s="213"/>
      <c r="K53" s="214"/>
    </row>
    <row r="54" spans="1:11" s="385" customFormat="1" ht="18" customHeight="1">
      <c r="A54" s="275" t="s">
        <v>381</v>
      </c>
      <c r="B54" s="382" t="s">
        <v>20</v>
      </c>
      <c r="C54" s="383"/>
      <c r="D54" s="213"/>
      <c r="E54" s="213"/>
      <c r="F54" s="213"/>
      <c r="G54" s="213"/>
      <c r="H54" s="213"/>
      <c r="I54" s="213"/>
      <c r="J54" s="213"/>
      <c r="K54" s="214"/>
    </row>
    <row r="55" spans="1:11" s="385" customFormat="1" ht="8.25" customHeight="1">
      <c r="A55" s="275"/>
      <c r="B55" s="382"/>
      <c r="C55" s="383"/>
      <c r="D55" s="213"/>
      <c r="E55" s="213"/>
      <c r="F55" s="213"/>
      <c r="G55" s="213"/>
      <c r="H55" s="213"/>
      <c r="I55" s="213"/>
      <c r="J55" s="213"/>
      <c r="K55" s="214"/>
    </row>
    <row r="56" spans="1:11" ht="19.5" customHeight="1">
      <c r="A56" s="630" t="s">
        <v>389</v>
      </c>
      <c r="B56" s="643"/>
      <c r="C56" s="643"/>
      <c r="D56" s="643"/>
      <c r="E56" s="643"/>
      <c r="F56" s="643"/>
      <c r="G56" s="643"/>
      <c r="H56" s="643"/>
      <c r="I56" s="643"/>
      <c r="J56" s="643"/>
      <c r="K56" s="241"/>
    </row>
    <row r="57" spans="1:11" ht="19.5" customHeight="1">
      <c r="A57" s="643"/>
      <c r="B57" s="643"/>
      <c r="C57" s="643"/>
      <c r="D57" s="643"/>
      <c r="E57" s="643"/>
      <c r="F57" s="643"/>
      <c r="G57" s="643"/>
      <c r="H57" s="643"/>
      <c r="I57" s="643"/>
      <c r="J57" s="643"/>
      <c r="K57" s="241"/>
    </row>
    <row r="58" spans="1:11" ht="19.5" customHeight="1">
      <c r="A58" s="643"/>
      <c r="B58" s="643"/>
      <c r="C58" s="643"/>
      <c r="D58" s="643"/>
      <c r="E58" s="643"/>
      <c r="F58" s="643"/>
      <c r="G58" s="643"/>
      <c r="H58" s="643"/>
      <c r="I58" s="643"/>
      <c r="J58" s="643"/>
      <c r="K58" s="241"/>
    </row>
    <row r="59" spans="1:11" ht="19.5" customHeight="1">
      <c r="A59" s="643"/>
      <c r="B59" s="643"/>
      <c r="C59" s="643"/>
      <c r="D59" s="643"/>
      <c r="E59" s="643"/>
      <c r="F59" s="643"/>
      <c r="G59" s="643"/>
      <c r="H59" s="643"/>
      <c r="I59" s="643"/>
      <c r="J59" s="643"/>
      <c r="K59" s="241"/>
    </row>
    <row r="60" spans="1:11" ht="19.5" customHeight="1">
      <c r="A60" s="643"/>
      <c r="B60" s="643"/>
      <c r="C60" s="643"/>
      <c r="D60" s="643"/>
      <c r="E60" s="643"/>
      <c r="F60" s="643"/>
      <c r="G60" s="643"/>
      <c r="H60" s="643"/>
      <c r="I60" s="643"/>
      <c r="J60" s="643"/>
      <c r="K60" s="241"/>
    </row>
    <row r="61" spans="1:11" ht="12.75" customHeight="1">
      <c r="A61" s="643"/>
      <c r="B61" s="643"/>
      <c r="C61" s="643"/>
      <c r="D61" s="643"/>
      <c r="E61" s="643"/>
      <c r="F61" s="643"/>
      <c r="G61" s="643"/>
      <c r="H61" s="643"/>
      <c r="I61" s="643"/>
      <c r="J61" s="643"/>
      <c r="K61" s="241"/>
    </row>
    <row r="62" spans="1:11" ht="7.5" customHeight="1">
      <c r="A62" s="643"/>
      <c r="B62" s="643"/>
      <c r="C62" s="643"/>
      <c r="D62" s="643"/>
      <c r="E62" s="643"/>
      <c r="F62" s="643"/>
      <c r="G62" s="643"/>
      <c r="H62" s="643"/>
      <c r="I62" s="643"/>
      <c r="J62" s="643"/>
      <c r="K62" s="241"/>
    </row>
    <row r="63" spans="1:11" s="128" customFormat="1" ht="18.75" customHeight="1">
      <c r="A63" s="630" t="s">
        <v>390</v>
      </c>
      <c r="B63" s="631"/>
      <c r="C63" s="631"/>
      <c r="D63" s="631"/>
      <c r="E63" s="631"/>
      <c r="F63" s="631"/>
      <c r="G63" s="631"/>
      <c r="H63" s="631"/>
      <c r="I63" s="631"/>
      <c r="J63" s="631"/>
      <c r="K63" s="384"/>
    </row>
    <row r="64" spans="1:11" ht="18.75" customHeight="1">
      <c r="A64" s="631"/>
      <c r="B64" s="631"/>
      <c r="C64" s="631"/>
      <c r="D64" s="631"/>
      <c r="E64" s="631"/>
      <c r="F64" s="631"/>
      <c r="G64" s="631"/>
      <c r="H64" s="631"/>
      <c r="I64" s="631"/>
      <c r="J64" s="631"/>
      <c r="K64" s="241"/>
    </row>
    <row r="65" spans="1:11" ht="18.75" customHeight="1">
      <c r="A65" s="631"/>
      <c r="B65" s="631"/>
      <c r="C65" s="631"/>
      <c r="D65" s="631"/>
      <c r="E65" s="631"/>
      <c r="F65" s="631"/>
      <c r="G65" s="631"/>
      <c r="H65" s="631"/>
      <c r="I65" s="631"/>
      <c r="J65" s="631"/>
      <c r="K65" s="241"/>
    </row>
    <row r="66" spans="1:11" ht="6.75" customHeight="1">
      <c r="A66" s="631"/>
      <c r="B66" s="631"/>
      <c r="C66" s="631"/>
      <c r="D66" s="631"/>
      <c r="E66" s="631"/>
      <c r="F66" s="631"/>
      <c r="G66" s="631"/>
      <c r="H66" s="631"/>
      <c r="I66" s="631"/>
      <c r="J66" s="631"/>
      <c r="K66" s="241"/>
    </row>
    <row r="67" spans="1:11" ht="18.75" customHeight="1">
      <c r="A67" s="623" t="s">
        <v>391</v>
      </c>
      <c r="B67" s="623"/>
      <c r="C67" s="623"/>
      <c r="D67" s="623"/>
      <c r="E67" s="623"/>
      <c r="F67" s="623"/>
      <c r="G67" s="623"/>
      <c r="H67" s="623"/>
      <c r="I67" s="623"/>
      <c r="J67" s="623"/>
      <c r="K67" s="241"/>
    </row>
    <row r="68" spans="1:11" ht="18.75" customHeight="1">
      <c r="A68" s="623"/>
      <c r="B68" s="623"/>
      <c r="C68" s="623"/>
      <c r="D68" s="623"/>
      <c r="E68" s="623"/>
      <c r="F68" s="623"/>
      <c r="G68" s="623"/>
      <c r="H68" s="623"/>
      <c r="I68" s="623"/>
      <c r="J68" s="623"/>
      <c r="K68" s="241"/>
    </row>
    <row r="69" spans="1:11" ht="24.75" customHeight="1">
      <c r="A69" s="618" t="s">
        <v>170</v>
      </c>
      <c r="B69" s="619"/>
      <c r="C69" s="619"/>
      <c r="D69" s="620"/>
      <c r="E69" s="190"/>
      <c r="F69" s="190"/>
      <c r="G69" s="190"/>
      <c r="H69" s="190"/>
      <c r="I69" s="190"/>
      <c r="J69" s="190"/>
      <c r="K69" s="190"/>
    </row>
    <row r="70" spans="1:11" ht="15" customHeight="1">
      <c r="A70" s="620"/>
      <c r="B70" s="620"/>
      <c r="C70" s="620"/>
      <c r="D70" s="620"/>
      <c r="E70" s="190"/>
      <c r="F70" s="190"/>
      <c r="G70" s="190"/>
      <c r="H70" s="190"/>
      <c r="I70" s="190"/>
      <c r="J70" s="190"/>
      <c r="K70" s="190"/>
    </row>
    <row r="71" spans="1:11" ht="16.5" customHeight="1">
      <c r="A71" s="623" t="s">
        <v>392</v>
      </c>
      <c r="B71" s="623"/>
      <c r="C71" s="623"/>
      <c r="D71" s="623"/>
      <c r="E71" s="623"/>
      <c r="F71" s="623"/>
      <c r="G71" s="623"/>
      <c r="H71" s="623"/>
      <c r="I71" s="623"/>
      <c r="J71" s="623"/>
      <c r="K71" s="190"/>
    </row>
    <row r="72" spans="1:11" ht="16.5" customHeight="1">
      <c r="A72" s="623"/>
      <c r="B72" s="623"/>
      <c r="C72" s="623"/>
      <c r="D72" s="623"/>
      <c r="E72" s="623"/>
      <c r="F72" s="623"/>
      <c r="G72" s="623"/>
      <c r="H72" s="623"/>
      <c r="I72" s="623"/>
      <c r="J72" s="623"/>
      <c r="K72" s="190"/>
    </row>
    <row r="73" spans="1:11" ht="16.5" customHeight="1">
      <c r="A73" s="623"/>
      <c r="B73" s="623"/>
      <c r="C73" s="623"/>
      <c r="D73" s="623"/>
      <c r="E73" s="623"/>
      <c r="F73" s="623"/>
      <c r="G73" s="623"/>
      <c r="H73" s="623"/>
      <c r="I73" s="623"/>
      <c r="J73" s="623"/>
      <c r="K73" s="190"/>
    </row>
    <row r="74" spans="1:11" ht="16.5" customHeight="1">
      <c r="A74" s="623"/>
      <c r="B74" s="623"/>
      <c r="C74" s="623"/>
      <c r="D74" s="623"/>
      <c r="E74" s="623"/>
      <c r="F74" s="623"/>
      <c r="G74" s="623"/>
      <c r="H74" s="623"/>
      <c r="I74" s="623"/>
      <c r="J74" s="623"/>
      <c r="K74" s="190"/>
    </row>
    <row r="75" spans="1:11" ht="16.5" customHeight="1">
      <c r="A75" s="623"/>
      <c r="B75" s="623"/>
      <c r="C75" s="623"/>
      <c r="D75" s="623"/>
      <c r="E75" s="623"/>
      <c r="F75" s="623"/>
      <c r="G75" s="623"/>
      <c r="H75" s="623"/>
      <c r="I75" s="623"/>
      <c r="J75" s="623"/>
      <c r="K75" s="190"/>
    </row>
    <row r="76" spans="1:11" ht="16.5" customHeight="1">
      <c r="A76" s="623"/>
      <c r="B76" s="623"/>
      <c r="C76" s="623"/>
      <c r="D76" s="623"/>
      <c r="E76" s="623"/>
      <c r="F76" s="623"/>
      <c r="G76" s="623"/>
      <c r="H76" s="623"/>
      <c r="I76" s="623"/>
      <c r="J76" s="623"/>
      <c r="K76" s="190"/>
    </row>
    <row r="77" spans="1:11" ht="16.5" customHeight="1">
      <c r="A77" s="623"/>
      <c r="B77" s="623"/>
      <c r="C77" s="623"/>
      <c r="D77" s="623"/>
      <c r="E77" s="623"/>
      <c r="F77" s="623"/>
      <c r="G77" s="623"/>
      <c r="H77" s="623"/>
      <c r="I77" s="623"/>
      <c r="J77" s="623"/>
      <c r="K77" s="190"/>
    </row>
    <row r="78" spans="1:11" ht="5.25" customHeight="1">
      <c r="A78" s="623"/>
      <c r="B78" s="623"/>
      <c r="C78" s="623"/>
      <c r="D78" s="623"/>
      <c r="E78" s="623"/>
      <c r="F78" s="623"/>
      <c r="G78" s="623"/>
      <c r="H78" s="623"/>
      <c r="I78" s="623"/>
      <c r="J78" s="623"/>
      <c r="K78" s="190"/>
    </row>
    <row r="79" spans="1:11" ht="12.75" customHeight="1">
      <c r="A79" s="629"/>
      <c r="B79" s="629"/>
      <c r="C79" s="629"/>
      <c r="D79" s="629"/>
      <c r="E79" s="629"/>
      <c r="F79" s="629"/>
      <c r="G79" s="629"/>
      <c r="H79" s="629"/>
      <c r="I79" s="629"/>
      <c r="J79" s="629"/>
      <c r="K79" s="190"/>
    </row>
    <row r="80" spans="1:11" ht="16.5" customHeight="1">
      <c r="A80" s="621" t="s">
        <v>257</v>
      </c>
      <c r="B80" s="621"/>
      <c r="C80" s="621"/>
      <c r="D80" s="622"/>
      <c r="E80" s="190"/>
      <c r="F80" s="190"/>
      <c r="G80" s="190"/>
      <c r="H80" s="190"/>
      <c r="I80" s="190"/>
      <c r="J80" s="190"/>
      <c r="K80" s="190"/>
    </row>
    <row r="81" spans="1:11" ht="16.5" customHeight="1">
      <c r="A81" s="622"/>
      <c r="B81" s="622"/>
      <c r="C81" s="622"/>
      <c r="D81" s="622"/>
      <c r="E81" s="190"/>
      <c r="F81" s="190"/>
      <c r="G81" s="190"/>
      <c r="H81" s="190"/>
      <c r="I81" s="190"/>
      <c r="J81" s="190"/>
      <c r="K81" s="190"/>
    </row>
    <row r="82" spans="1:11" ht="16.5" customHeight="1">
      <c r="A82" s="623" t="s">
        <v>393</v>
      </c>
      <c r="B82" s="623"/>
      <c r="C82" s="623"/>
      <c r="D82" s="623"/>
      <c r="E82" s="623"/>
      <c r="F82" s="623"/>
      <c r="G82" s="623"/>
      <c r="H82" s="623"/>
      <c r="I82" s="623"/>
      <c r="J82" s="623"/>
      <c r="K82" s="190"/>
    </row>
    <row r="83" spans="1:11" ht="16.5" customHeight="1">
      <c r="A83" s="623"/>
      <c r="B83" s="623"/>
      <c r="C83" s="623"/>
      <c r="D83" s="623"/>
      <c r="E83" s="623"/>
      <c r="F83" s="623"/>
      <c r="G83" s="623"/>
      <c r="H83" s="623"/>
      <c r="I83" s="623"/>
      <c r="J83" s="623"/>
      <c r="K83" s="190"/>
    </row>
    <row r="84" spans="1:11" ht="16.5" customHeight="1">
      <c r="A84" s="623"/>
      <c r="B84" s="623"/>
      <c r="C84" s="623"/>
      <c r="D84" s="623"/>
      <c r="E84" s="623"/>
      <c r="F84" s="623"/>
      <c r="G84" s="623"/>
      <c r="H84" s="623"/>
      <c r="I84" s="623"/>
      <c r="J84" s="623"/>
      <c r="K84" s="190"/>
    </row>
    <row r="85" spans="1:11" ht="16.5" customHeight="1">
      <c r="A85" s="623"/>
      <c r="B85" s="623"/>
      <c r="C85" s="623"/>
      <c r="D85" s="623"/>
      <c r="E85" s="623"/>
      <c r="F85" s="623"/>
      <c r="G85" s="623"/>
      <c r="H85" s="623"/>
      <c r="I85" s="623"/>
      <c r="J85" s="623"/>
      <c r="K85" s="190"/>
    </row>
    <row r="86" spans="1:11" ht="16.5" customHeight="1">
      <c r="A86" s="623"/>
      <c r="B86" s="623"/>
      <c r="C86" s="623"/>
      <c r="D86" s="623"/>
      <c r="E86" s="623"/>
      <c r="F86" s="623"/>
      <c r="G86" s="623"/>
      <c r="H86" s="623"/>
      <c r="I86" s="623"/>
      <c r="J86" s="623"/>
      <c r="K86" s="190"/>
    </row>
    <row r="87" spans="1:11" ht="16.5" customHeight="1">
      <c r="A87" s="623"/>
      <c r="B87" s="623"/>
      <c r="C87" s="623"/>
      <c r="D87" s="623"/>
      <c r="E87" s="623"/>
      <c r="F87" s="623"/>
      <c r="G87" s="623"/>
      <c r="H87" s="623"/>
      <c r="I87" s="623"/>
      <c r="J87" s="623"/>
      <c r="K87" s="190"/>
    </row>
    <row r="88" spans="1:11" ht="16.5" customHeight="1">
      <c r="A88" s="623"/>
      <c r="B88" s="623"/>
      <c r="C88" s="623"/>
      <c r="D88" s="623"/>
      <c r="E88" s="623"/>
      <c r="F88" s="623"/>
      <c r="G88" s="623"/>
      <c r="H88" s="623"/>
      <c r="I88" s="623"/>
      <c r="J88" s="623"/>
      <c r="K88" s="190"/>
    </row>
    <row r="89" spans="1:11" ht="5.25" customHeight="1">
      <c r="A89" s="624"/>
      <c r="B89" s="624"/>
      <c r="C89" s="624"/>
      <c r="D89" s="624"/>
      <c r="E89" s="624"/>
      <c r="F89" s="624"/>
      <c r="G89" s="624"/>
      <c r="H89" s="624"/>
      <c r="I89" s="624"/>
      <c r="J89" s="624"/>
      <c r="K89" s="190"/>
    </row>
    <row r="90" spans="1:11" ht="5.25" customHeight="1">
      <c r="A90" s="624"/>
      <c r="B90" s="624"/>
      <c r="C90" s="624"/>
      <c r="D90" s="624"/>
      <c r="E90" s="624"/>
      <c r="F90" s="624"/>
      <c r="G90" s="624"/>
      <c r="H90" s="624"/>
      <c r="I90" s="624"/>
      <c r="J90" s="624"/>
      <c r="K90" s="190"/>
    </row>
    <row r="91" spans="1:11" ht="32.25" customHeight="1">
      <c r="A91" s="621" t="s">
        <v>309</v>
      </c>
      <c r="B91" s="621"/>
      <c r="C91" s="621"/>
      <c r="D91" s="622"/>
      <c r="E91" s="625"/>
      <c r="F91" s="625"/>
      <c r="G91" s="625"/>
      <c r="H91" s="625"/>
      <c r="I91" s="625"/>
      <c r="J91" s="190"/>
      <c r="K91" s="190"/>
    </row>
    <row r="92" spans="1:11" ht="19.5" customHeight="1">
      <c r="A92" s="622"/>
      <c r="B92" s="622"/>
      <c r="C92" s="622"/>
      <c r="D92" s="622"/>
      <c r="E92" s="625"/>
      <c r="F92" s="625"/>
      <c r="G92" s="625"/>
      <c r="H92" s="625"/>
      <c r="I92" s="625"/>
      <c r="J92" s="190"/>
      <c r="K92" s="190"/>
    </row>
    <row r="93" spans="1:11" ht="14.25">
      <c r="A93" s="641" t="s">
        <v>394</v>
      </c>
      <c r="B93" s="641"/>
      <c r="C93" s="641"/>
      <c r="D93" s="641"/>
      <c r="E93" s="641"/>
      <c r="F93" s="641"/>
      <c r="G93" s="641"/>
      <c r="H93" s="641"/>
      <c r="I93" s="641"/>
      <c r="J93" s="641"/>
      <c r="K93" s="190"/>
    </row>
    <row r="94" spans="1:11" ht="14.25">
      <c r="A94" s="641"/>
      <c r="B94" s="641"/>
      <c r="C94" s="641"/>
      <c r="D94" s="641"/>
      <c r="E94" s="641"/>
      <c r="F94" s="641"/>
      <c r="G94" s="641"/>
      <c r="H94" s="641"/>
      <c r="I94" s="641"/>
      <c r="J94" s="641"/>
      <c r="K94" s="190"/>
    </row>
    <row r="95" spans="1:11" ht="14.25">
      <c r="A95" s="641"/>
      <c r="B95" s="641"/>
      <c r="C95" s="641"/>
      <c r="D95" s="641"/>
      <c r="E95" s="641"/>
      <c r="F95" s="641"/>
      <c r="G95" s="641"/>
      <c r="H95" s="641"/>
      <c r="I95" s="641"/>
      <c r="J95" s="641"/>
      <c r="K95" s="190"/>
    </row>
    <row r="96" spans="1:11" ht="14.25">
      <c r="A96" s="641"/>
      <c r="B96" s="641"/>
      <c r="C96" s="641"/>
      <c r="D96" s="641"/>
      <c r="E96" s="641"/>
      <c r="F96" s="641"/>
      <c r="G96" s="641"/>
      <c r="H96" s="641"/>
      <c r="I96" s="641"/>
      <c r="J96" s="641"/>
      <c r="K96" s="190"/>
    </row>
    <row r="97" spans="1:11" ht="14.25">
      <c r="A97" s="641"/>
      <c r="B97" s="641"/>
      <c r="C97" s="641"/>
      <c r="D97" s="641"/>
      <c r="E97" s="641"/>
      <c r="F97" s="641"/>
      <c r="G97" s="641"/>
      <c r="H97" s="641"/>
      <c r="I97" s="641"/>
      <c r="J97" s="641"/>
      <c r="K97" s="190"/>
    </row>
    <row r="98" spans="1:11" ht="14.25">
      <c r="A98" s="641"/>
      <c r="B98" s="641"/>
      <c r="C98" s="641"/>
      <c r="D98" s="641"/>
      <c r="E98" s="641"/>
      <c r="F98" s="641"/>
      <c r="G98" s="641"/>
      <c r="H98" s="641"/>
      <c r="I98" s="641"/>
      <c r="J98" s="641"/>
      <c r="K98" s="190"/>
    </row>
    <row r="99" spans="1:11" ht="6" customHeight="1">
      <c r="A99" s="641"/>
      <c r="B99" s="641"/>
      <c r="C99" s="641"/>
      <c r="D99" s="641"/>
      <c r="E99" s="641"/>
      <c r="F99" s="641"/>
      <c r="G99" s="641"/>
      <c r="H99" s="641"/>
      <c r="I99" s="641"/>
      <c r="J99" s="641"/>
      <c r="K99" s="190"/>
    </row>
    <row r="100" spans="1:11" ht="1.5" customHeight="1">
      <c r="A100" s="641"/>
      <c r="B100" s="641"/>
      <c r="C100" s="641"/>
      <c r="D100" s="641"/>
      <c r="E100" s="641"/>
      <c r="F100" s="641"/>
      <c r="G100" s="641"/>
      <c r="H100" s="641"/>
      <c r="I100" s="641"/>
      <c r="J100" s="641"/>
      <c r="K100" s="190"/>
    </row>
    <row r="101" spans="1:11" ht="8.25" customHeight="1">
      <c r="A101" s="641"/>
      <c r="B101" s="641"/>
      <c r="C101" s="641"/>
      <c r="D101" s="641"/>
      <c r="E101" s="641"/>
      <c r="F101" s="641"/>
      <c r="G101" s="641"/>
      <c r="H101" s="641"/>
      <c r="I101" s="641"/>
      <c r="J101" s="641"/>
      <c r="K101" s="190"/>
    </row>
    <row r="102" spans="1:11" ht="9.75" customHeight="1" hidden="1">
      <c r="A102" s="642"/>
      <c r="B102" s="642"/>
      <c r="C102" s="642"/>
      <c r="D102" s="642"/>
      <c r="E102" s="642"/>
      <c r="F102" s="642"/>
      <c r="G102" s="642"/>
      <c r="H102" s="642"/>
      <c r="I102" s="642"/>
      <c r="J102" s="642"/>
      <c r="K102" s="190"/>
    </row>
    <row r="103" spans="1:11" ht="24" customHeight="1">
      <c r="A103" s="621" t="s">
        <v>258</v>
      </c>
      <c r="B103" s="621"/>
      <c r="C103" s="621"/>
      <c r="D103" s="622"/>
      <c r="E103" s="625"/>
      <c r="F103" s="625"/>
      <c r="G103" s="625"/>
      <c r="H103" s="625"/>
      <c r="I103" s="625"/>
      <c r="J103" s="190"/>
      <c r="K103" s="190"/>
    </row>
    <row r="104" spans="1:11" ht="11.25" customHeight="1">
      <c r="A104" s="622"/>
      <c r="B104" s="622"/>
      <c r="C104" s="622"/>
      <c r="D104" s="622"/>
      <c r="E104" s="625"/>
      <c r="F104" s="625"/>
      <c r="G104" s="625"/>
      <c r="H104" s="625"/>
      <c r="I104" s="625"/>
      <c r="J104" s="190"/>
      <c r="K104" s="190"/>
    </row>
    <row r="105" spans="1:11" ht="15" customHeight="1">
      <c r="A105" s="634" t="s">
        <v>395</v>
      </c>
      <c r="B105" s="634"/>
      <c r="C105" s="634"/>
      <c r="D105" s="634"/>
      <c r="E105" s="634"/>
      <c r="F105" s="634"/>
      <c r="G105" s="634"/>
      <c r="H105" s="634"/>
      <c r="I105" s="634"/>
      <c r="J105" s="634"/>
      <c r="K105" s="190"/>
    </row>
    <row r="106" spans="1:11" ht="15" customHeight="1">
      <c r="A106" s="634"/>
      <c r="B106" s="634"/>
      <c r="C106" s="634"/>
      <c r="D106" s="634"/>
      <c r="E106" s="634"/>
      <c r="F106" s="634"/>
      <c r="G106" s="634"/>
      <c r="H106" s="634"/>
      <c r="I106" s="634"/>
      <c r="J106" s="634"/>
      <c r="K106" s="190"/>
    </row>
    <row r="107" spans="1:11" ht="15" customHeight="1">
      <c r="A107" s="634"/>
      <c r="B107" s="634"/>
      <c r="C107" s="634"/>
      <c r="D107" s="634"/>
      <c r="E107" s="634"/>
      <c r="F107" s="634"/>
      <c r="G107" s="634"/>
      <c r="H107" s="634"/>
      <c r="I107" s="634"/>
      <c r="J107" s="634"/>
      <c r="K107" s="190"/>
    </row>
    <row r="108" spans="1:11" ht="15" customHeight="1">
      <c r="A108" s="634"/>
      <c r="B108" s="634"/>
      <c r="C108" s="634"/>
      <c r="D108" s="634"/>
      <c r="E108" s="634"/>
      <c r="F108" s="634"/>
      <c r="G108" s="634"/>
      <c r="H108" s="634"/>
      <c r="I108" s="634"/>
      <c r="J108" s="634"/>
      <c r="K108" s="190"/>
    </row>
    <row r="109" spans="1:11" ht="15" customHeight="1">
      <c r="A109" s="634"/>
      <c r="B109" s="634"/>
      <c r="C109" s="634"/>
      <c r="D109" s="634"/>
      <c r="E109" s="634"/>
      <c r="F109" s="634"/>
      <c r="G109" s="634"/>
      <c r="H109" s="634"/>
      <c r="I109" s="634"/>
      <c r="J109" s="634"/>
      <c r="K109" s="190"/>
    </row>
    <row r="110" spans="1:11" ht="15" customHeight="1">
      <c r="A110" s="634"/>
      <c r="B110" s="634"/>
      <c r="C110" s="634"/>
      <c r="D110" s="634"/>
      <c r="E110" s="634"/>
      <c r="F110" s="634"/>
      <c r="G110" s="634"/>
      <c r="H110" s="634"/>
      <c r="I110" s="634"/>
      <c r="J110" s="634"/>
      <c r="K110" s="190"/>
    </row>
    <row r="111" spans="1:11" ht="15" customHeight="1">
      <c r="A111" s="634"/>
      <c r="B111" s="634"/>
      <c r="C111" s="634"/>
      <c r="D111" s="634"/>
      <c r="E111" s="634"/>
      <c r="F111" s="634"/>
      <c r="G111" s="634"/>
      <c r="H111" s="634"/>
      <c r="I111" s="634"/>
      <c r="J111" s="634"/>
      <c r="K111" s="190"/>
    </row>
    <row r="112" spans="1:11" ht="15" customHeight="1">
      <c r="A112" s="634"/>
      <c r="B112" s="634"/>
      <c r="C112" s="634"/>
      <c r="D112" s="634"/>
      <c r="E112" s="634"/>
      <c r="F112" s="634"/>
      <c r="G112" s="634"/>
      <c r="H112" s="634"/>
      <c r="I112" s="634"/>
      <c r="J112" s="634"/>
      <c r="K112" s="190"/>
    </row>
    <row r="113" spans="1:11" ht="6" customHeight="1">
      <c r="A113" s="629"/>
      <c r="B113" s="629"/>
      <c r="C113" s="629"/>
      <c r="D113" s="629"/>
      <c r="E113" s="629"/>
      <c r="F113" s="629"/>
      <c r="G113" s="629"/>
      <c r="H113" s="629"/>
      <c r="I113" s="629"/>
      <c r="J113" s="629"/>
      <c r="K113" s="190"/>
    </row>
    <row r="114" spans="1:11" ht="24.75" customHeight="1">
      <c r="A114" s="618" t="s">
        <v>171</v>
      </c>
      <c r="B114" s="619"/>
      <c r="C114" s="619"/>
      <c r="D114" s="620"/>
      <c r="E114" s="242"/>
      <c r="F114" s="242"/>
      <c r="G114" s="242"/>
      <c r="H114" s="242"/>
      <c r="I114" s="242"/>
      <c r="J114" s="242"/>
      <c r="K114" s="190"/>
    </row>
    <row r="115" spans="1:11" ht="24.75" customHeight="1">
      <c r="A115" s="620"/>
      <c r="B115" s="620"/>
      <c r="C115" s="620"/>
      <c r="D115" s="620"/>
      <c r="E115" s="243"/>
      <c r="F115" s="243"/>
      <c r="G115" s="243"/>
      <c r="H115" s="243"/>
      <c r="I115" s="243"/>
      <c r="J115" s="243"/>
      <c r="K115" s="197"/>
    </row>
    <row r="116" spans="1:11" ht="14.25">
      <c r="A116" s="632" t="s">
        <v>396</v>
      </c>
      <c r="B116" s="633"/>
      <c r="C116" s="633"/>
      <c r="D116" s="633"/>
      <c r="E116" s="633"/>
      <c r="F116" s="633"/>
      <c r="G116" s="633"/>
      <c r="H116" s="633"/>
      <c r="I116" s="633"/>
      <c r="J116" s="633"/>
      <c r="K116" s="302"/>
    </row>
    <row r="117" spans="1:11" ht="14.25">
      <c r="A117" s="633"/>
      <c r="B117" s="633"/>
      <c r="C117" s="633"/>
      <c r="D117" s="633"/>
      <c r="E117" s="633"/>
      <c r="F117" s="633"/>
      <c r="G117" s="633"/>
      <c r="H117" s="633"/>
      <c r="I117" s="633"/>
      <c r="J117" s="633"/>
      <c r="K117" s="302"/>
    </row>
    <row r="118" spans="1:11" ht="14.25">
      <c r="A118" s="633"/>
      <c r="B118" s="633"/>
      <c r="C118" s="633"/>
      <c r="D118" s="633"/>
      <c r="E118" s="633"/>
      <c r="F118" s="633"/>
      <c r="G118" s="633"/>
      <c r="H118" s="633"/>
      <c r="I118" s="633"/>
      <c r="J118" s="633"/>
      <c r="K118" s="302"/>
    </row>
    <row r="119" spans="1:11" ht="14.25">
      <c r="A119" s="633"/>
      <c r="B119" s="633"/>
      <c r="C119" s="633"/>
      <c r="D119" s="633"/>
      <c r="E119" s="633"/>
      <c r="F119" s="633"/>
      <c r="G119" s="633"/>
      <c r="H119" s="633"/>
      <c r="I119" s="633"/>
      <c r="J119" s="633"/>
      <c r="K119" s="302"/>
    </row>
    <row r="120" spans="1:11" ht="14.25">
      <c r="A120" s="633"/>
      <c r="B120" s="633"/>
      <c r="C120" s="633"/>
      <c r="D120" s="633"/>
      <c r="E120" s="633"/>
      <c r="F120" s="633"/>
      <c r="G120" s="633"/>
      <c r="H120" s="633"/>
      <c r="I120" s="633"/>
      <c r="J120" s="633"/>
      <c r="K120" s="302"/>
    </row>
    <row r="121" spans="1:11" ht="14.25">
      <c r="A121" s="633"/>
      <c r="B121" s="633"/>
      <c r="C121" s="633"/>
      <c r="D121" s="633"/>
      <c r="E121" s="633"/>
      <c r="F121" s="633"/>
      <c r="G121" s="633"/>
      <c r="H121" s="633"/>
      <c r="I121" s="633"/>
      <c r="J121" s="633"/>
      <c r="K121" s="302"/>
    </row>
    <row r="122" spans="1:11" ht="14.25">
      <c r="A122" s="633"/>
      <c r="B122" s="633"/>
      <c r="C122" s="633"/>
      <c r="D122" s="633"/>
      <c r="E122" s="633"/>
      <c r="F122" s="633"/>
      <c r="G122" s="633"/>
      <c r="H122" s="633"/>
      <c r="I122" s="633"/>
      <c r="J122" s="633"/>
      <c r="K122" s="302"/>
    </row>
    <row r="123" spans="1:11" ht="14.25">
      <c r="A123" s="633"/>
      <c r="B123" s="633"/>
      <c r="C123" s="633"/>
      <c r="D123" s="633"/>
      <c r="E123" s="633"/>
      <c r="F123" s="633"/>
      <c r="G123" s="633"/>
      <c r="H123" s="633"/>
      <c r="I123" s="633"/>
      <c r="J123" s="633"/>
      <c r="K123" s="302"/>
    </row>
    <row r="124" spans="1:11" ht="14.25">
      <c r="A124" s="633"/>
      <c r="B124" s="633"/>
      <c r="C124" s="633"/>
      <c r="D124" s="633"/>
      <c r="E124" s="633"/>
      <c r="F124" s="633"/>
      <c r="G124" s="633"/>
      <c r="H124" s="633"/>
      <c r="I124" s="633"/>
      <c r="J124" s="633"/>
      <c r="K124" s="302"/>
    </row>
    <row r="125" spans="1:11" ht="14.25">
      <c r="A125" s="633"/>
      <c r="B125" s="633"/>
      <c r="C125" s="633"/>
      <c r="D125" s="633"/>
      <c r="E125" s="633"/>
      <c r="F125" s="633"/>
      <c r="G125" s="633"/>
      <c r="H125" s="633"/>
      <c r="I125" s="633"/>
      <c r="J125" s="633"/>
      <c r="K125" s="302"/>
    </row>
    <row r="126" spans="1:11" ht="6" customHeight="1">
      <c r="A126" s="633"/>
      <c r="B126" s="633"/>
      <c r="C126" s="633"/>
      <c r="D126" s="633"/>
      <c r="E126" s="633"/>
      <c r="F126" s="633"/>
      <c r="G126" s="633"/>
      <c r="H126" s="633"/>
      <c r="I126" s="633"/>
      <c r="J126" s="633"/>
      <c r="K126" s="302"/>
    </row>
    <row r="127" spans="1:11" ht="16.5" customHeight="1">
      <c r="A127" s="629" t="s">
        <v>387</v>
      </c>
      <c r="B127" s="629"/>
      <c r="C127" s="629"/>
      <c r="D127" s="629"/>
      <c r="E127" s="629"/>
      <c r="F127" s="629"/>
      <c r="G127" s="629"/>
      <c r="H127" s="629"/>
      <c r="I127" s="629"/>
      <c r="J127" s="629"/>
      <c r="K127" s="302"/>
    </row>
    <row r="128" spans="1:11" ht="14.25">
      <c r="A128" s="629"/>
      <c r="B128" s="629"/>
      <c r="C128" s="629"/>
      <c r="D128" s="629"/>
      <c r="E128" s="629"/>
      <c r="F128" s="629"/>
      <c r="G128" s="629"/>
      <c r="H128" s="629"/>
      <c r="I128" s="629"/>
      <c r="J128" s="629"/>
      <c r="K128" s="302"/>
    </row>
    <row r="129" spans="1:11" ht="14.25">
      <c r="A129" s="629"/>
      <c r="B129" s="629"/>
      <c r="C129" s="629"/>
      <c r="D129" s="629"/>
      <c r="E129" s="629"/>
      <c r="F129" s="629"/>
      <c r="G129" s="629"/>
      <c r="H129" s="629"/>
      <c r="I129" s="629"/>
      <c r="J129" s="629"/>
      <c r="K129" s="197"/>
    </row>
    <row r="130" spans="1:11" ht="14.25">
      <c r="A130" s="304"/>
      <c r="B130" s="304"/>
      <c r="C130" s="304"/>
      <c r="D130" s="304"/>
      <c r="E130" s="304"/>
      <c r="F130" s="304"/>
      <c r="G130" s="304"/>
      <c r="H130" s="304"/>
      <c r="I130" s="304"/>
      <c r="J130" s="304"/>
      <c r="K130" s="197"/>
    </row>
    <row r="131" spans="1:11" ht="14.25">
      <c r="A131" s="387" t="s">
        <v>24</v>
      </c>
      <c r="B131" s="388"/>
      <c r="C131" s="388"/>
      <c r="D131" s="388"/>
      <c r="E131" s="243"/>
      <c r="F131" s="243"/>
      <c r="G131" s="243"/>
      <c r="H131" s="243"/>
      <c r="I131" s="243"/>
      <c r="J131" s="243"/>
      <c r="K131" s="197"/>
    </row>
    <row r="132" spans="1:11" ht="15">
      <c r="A132" s="387"/>
      <c r="B132" s="244"/>
      <c r="C132" s="389"/>
      <c r="D132" s="389"/>
      <c r="E132" s="243"/>
      <c r="F132" s="243"/>
      <c r="G132" s="243"/>
      <c r="H132" s="243"/>
      <c r="I132" s="243"/>
      <c r="J132" s="243"/>
      <c r="K132" s="197"/>
    </row>
    <row r="133" spans="1:11" ht="15">
      <c r="A133" s="390" t="s">
        <v>310</v>
      </c>
      <c r="B133" s="244"/>
      <c r="C133" s="389"/>
      <c r="D133" s="389"/>
      <c r="E133" s="243"/>
      <c r="F133" s="243"/>
      <c r="G133" s="243"/>
      <c r="H133" s="243"/>
      <c r="I133" s="243"/>
      <c r="J133" s="243"/>
      <c r="K133" s="197"/>
    </row>
    <row r="134" spans="1:11" ht="15.75">
      <c r="A134" s="245"/>
      <c r="B134" s="244"/>
      <c r="C134" s="243"/>
      <c r="D134" s="243"/>
      <c r="E134" s="243"/>
      <c r="F134" s="243"/>
      <c r="G134" s="243"/>
      <c r="H134" s="243"/>
      <c r="I134" s="243"/>
      <c r="J134" s="243"/>
      <c r="K134" s="197"/>
    </row>
    <row r="135" spans="1:11" ht="14.25" customHeight="1">
      <c r="A135" s="245"/>
      <c r="B135" s="244"/>
      <c r="C135" s="243"/>
      <c r="D135" s="243"/>
      <c r="E135" s="243"/>
      <c r="F135" s="243"/>
      <c r="G135" s="243"/>
      <c r="H135" s="243"/>
      <c r="I135" s="243"/>
      <c r="J135" s="243"/>
      <c r="K135" s="197"/>
    </row>
    <row r="136" spans="1:11" ht="15.75">
      <c r="A136" s="245"/>
      <c r="B136" s="244"/>
      <c r="C136" s="243"/>
      <c r="D136" s="243"/>
      <c r="E136" s="243"/>
      <c r="F136" s="243"/>
      <c r="G136" s="243"/>
      <c r="H136" s="243"/>
      <c r="I136" s="243"/>
      <c r="J136" s="243"/>
      <c r="K136" s="197"/>
    </row>
    <row r="137" spans="1:11" ht="15.75">
      <c r="A137" s="245"/>
      <c r="B137" s="243"/>
      <c r="C137" s="243"/>
      <c r="D137" s="243"/>
      <c r="E137" s="243"/>
      <c r="F137" s="243"/>
      <c r="G137" s="243"/>
      <c r="H137" s="243"/>
      <c r="I137" s="243"/>
      <c r="J137" s="243"/>
      <c r="K137" s="197"/>
    </row>
    <row r="138" spans="1:11" ht="14.25">
      <c r="A138" s="243"/>
      <c r="B138" s="243"/>
      <c r="C138" s="243"/>
      <c r="D138" s="243"/>
      <c r="E138" s="243"/>
      <c r="F138" s="243"/>
      <c r="G138" s="243"/>
      <c r="H138" s="243"/>
      <c r="I138" s="243"/>
      <c r="J138" s="243"/>
      <c r="K138" s="197"/>
    </row>
    <row r="139" spans="1:11" ht="14.25" hidden="1">
      <c r="A139" s="243"/>
      <c r="B139" s="243"/>
      <c r="C139" s="243"/>
      <c r="D139" s="243"/>
      <c r="E139" s="243"/>
      <c r="F139" s="243"/>
      <c r="G139" s="243"/>
      <c r="H139" s="243"/>
      <c r="I139" s="243"/>
      <c r="J139" s="243"/>
      <c r="K139" s="197"/>
    </row>
    <row r="140" spans="1:11" ht="14.25" hidden="1">
      <c r="A140" s="243"/>
      <c r="B140" s="243"/>
      <c r="C140" s="243"/>
      <c r="D140" s="243"/>
      <c r="E140" s="243"/>
      <c r="F140" s="243"/>
      <c r="G140" s="243"/>
      <c r="H140" s="243"/>
      <c r="I140" s="243"/>
      <c r="J140" s="243"/>
      <c r="K140" s="197"/>
    </row>
    <row r="141" spans="1:11" ht="14.25" hidden="1">
      <c r="A141" s="243"/>
      <c r="B141" s="243"/>
      <c r="C141" s="243"/>
      <c r="D141" s="243"/>
      <c r="E141" s="243"/>
      <c r="F141" s="243"/>
      <c r="G141" s="243"/>
      <c r="H141" s="243"/>
      <c r="I141" s="243"/>
      <c r="J141" s="243"/>
      <c r="K141" s="197"/>
    </row>
    <row r="142" spans="1:11" ht="14.25" hidden="1">
      <c r="A142" s="243"/>
      <c r="B142" s="243"/>
      <c r="C142" s="243"/>
      <c r="D142" s="243"/>
      <c r="E142" s="243"/>
      <c r="F142" s="243"/>
      <c r="G142" s="243"/>
      <c r="H142" s="243"/>
      <c r="I142" s="243"/>
      <c r="J142" s="243"/>
      <c r="K142" s="197"/>
    </row>
    <row r="143" spans="1:11" ht="14.25" hidden="1">
      <c r="A143" s="243"/>
      <c r="B143" s="243"/>
      <c r="C143" s="243"/>
      <c r="D143" s="243"/>
      <c r="E143" s="243"/>
      <c r="F143" s="243"/>
      <c r="G143" s="243"/>
      <c r="H143" s="243"/>
      <c r="I143" s="243"/>
      <c r="J143" s="243"/>
      <c r="K143" s="197"/>
    </row>
    <row r="144" spans="1:11" ht="14.25" hidden="1">
      <c r="A144" s="243"/>
      <c r="B144" s="243"/>
      <c r="C144" s="243"/>
      <c r="D144" s="243"/>
      <c r="E144" s="243"/>
      <c r="F144" s="243"/>
      <c r="G144" s="243"/>
      <c r="H144" s="243"/>
      <c r="I144" s="243"/>
      <c r="J144" s="243"/>
      <c r="K144" s="197"/>
    </row>
    <row r="145" spans="1:11" ht="14.25" hidden="1">
      <c r="A145" s="243"/>
      <c r="B145" s="243"/>
      <c r="C145" s="243"/>
      <c r="D145" s="243"/>
      <c r="E145" s="243"/>
      <c r="F145" s="243"/>
      <c r="G145" s="243"/>
      <c r="H145" s="243"/>
      <c r="I145" s="243"/>
      <c r="J145" s="243"/>
      <c r="K145" s="197"/>
    </row>
    <row r="146" spans="1:11" ht="14.25" hidden="1">
      <c r="A146" s="243"/>
      <c r="B146" s="243"/>
      <c r="C146" s="243"/>
      <c r="D146" s="243"/>
      <c r="E146" s="243"/>
      <c r="F146" s="243"/>
      <c r="G146" s="243"/>
      <c r="H146" s="243"/>
      <c r="I146" s="243"/>
      <c r="J146" s="243"/>
      <c r="K146" s="197"/>
    </row>
    <row r="147" spans="1:11" ht="14.25" hidden="1">
      <c r="A147" s="243"/>
      <c r="B147" s="243"/>
      <c r="C147" s="243"/>
      <c r="D147" s="243"/>
      <c r="E147" s="243"/>
      <c r="F147" s="243"/>
      <c r="G147" s="243"/>
      <c r="H147" s="243"/>
      <c r="I147" s="243"/>
      <c r="J147" s="243"/>
      <c r="K147" s="197"/>
    </row>
    <row r="148" spans="1:11" ht="14.25" hidden="1">
      <c r="A148" s="243"/>
      <c r="B148" s="243"/>
      <c r="C148" s="243"/>
      <c r="D148" s="243"/>
      <c r="E148" s="243"/>
      <c r="F148" s="243"/>
      <c r="G148" s="243"/>
      <c r="H148" s="243"/>
      <c r="I148" s="243"/>
      <c r="J148" s="243"/>
      <c r="K148" s="197"/>
    </row>
    <row r="149" spans="1:11" ht="14.25" hidden="1">
      <c r="A149" s="243"/>
      <c r="B149" s="243"/>
      <c r="C149" s="243"/>
      <c r="D149" s="243"/>
      <c r="E149" s="243"/>
      <c r="F149" s="243"/>
      <c r="G149" s="243"/>
      <c r="H149" s="243"/>
      <c r="I149" s="243"/>
      <c r="J149" s="243"/>
      <c r="K149" s="197"/>
    </row>
    <row r="150" spans="1:11" ht="14.25" hidden="1">
      <c r="A150" s="243"/>
      <c r="B150" s="243"/>
      <c r="C150" s="243"/>
      <c r="D150" s="243"/>
      <c r="E150" s="243"/>
      <c r="F150" s="243"/>
      <c r="G150" s="243"/>
      <c r="H150" s="243"/>
      <c r="I150" s="243"/>
      <c r="J150" s="243"/>
      <c r="K150" s="197"/>
    </row>
    <row r="151" spans="1:11" ht="14.25" hidden="1">
      <c r="A151" s="243"/>
      <c r="B151" s="243"/>
      <c r="C151" s="243"/>
      <c r="D151" s="243"/>
      <c r="E151" s="243"/>
      <c r="F151" s="243"/>
      <c r="G151" s="243"/>
      <c r="H151" s="243"/>
      <c r="I151" s="243"/>
      <c r="J151" s="243"/>
      <c r="K151" s="197"/>
    </row>
    <row r="152" spans="1:11" ht="14.25" hidden="1">
      <c r="A152" s="243"/>
      <c r="B152" s="243"/>
      <c r="C152" s="243"/>
      <c r="D152" s="243"/>
      <c r="E152" s="243"/>
      <c r="F152" s="243"/>
      <c r="G152" s="243"/>
      <c r="H152" s="243"/>
      <c r="I152" s="243"/>
      <c r="J152" s="243"/>
      <c r="K152" s="197"/>
    </row>
    <row r="153" spans="1:11" ht="14.25" hidden="1">
      <c r="A153" s="243"/>
      <c r="B153" s="243"/>
      <c r="C153" s="243"/>
      <c r="D153" s="243"/>
      <c r="E153" s="243"/>
      <c r="F153" s="243"/>
      <c r="G153" s="243"/>
      <c r="H153" s="243"/>
      <c r="I153" s="243"/>
      <c r="J153" s="243"/>
      <c r="K153" s="197"/>
    </row>
    <row r="154" spans="1:11" ht="14.25" hidden="1">
      <c r="A154" s="243"/>
      <c r="B154" s="243"/>
      <c r="C154" s="243"/>
      <c r="D154" s="243"/>
      <c r="E154" s="243"/>
      <c r="F154" s="243"/>
      <c r="G154" s="243"/>
      <c r="H154" s="243"/>
      <c r="I154" s="243"/>
      <c r="J154" s="243"/>
      <c r="K154" s="197"/>
    </row>
    <row r="155" spans="1:11" ht="14.25" hidden="1">
      <c r="A155" s="243"/>
      <c r="B155" s="243"/>
      <c r="C155" s="243"/>
      <c r="D155" s="243"/>
      <c r="E155" s="243"/>
      <c r="F155" s="243"/>
      <c r="G155" s="243"/>
      <c r="H155" s="243"/>
      <c r="I155" s="243"/>
      <c r="J155" s="243"/>
      <c r="K155" s="197"/>
    </row>
    <row r="156" spans="1:11" ht="14.25" hidden="1">
      <c r="A156" s="243"/>
      <c r="B156" s="243"/>
      <c r="C156" s="243"/>
      <c r="D156" s="243"/>
      <c r="E156" s="243"/>
      <c r="F156" s="243"/>
      <c r="G156" s="243"/>
      <c r="H156" s="243"/>
      <c r="I156" s="243"/>
      <c r="J156" s="243"/>
      <c r="K156" s="197"/>
    </row>
    <row r="157" spans="1:11" ht="14.25" hidden="1">
      <c r="A157" s="243"/>
      <c r="B157" s="243"/>
      <c r="C157" s="243"/>
      <c r="D157" s="243"/>
      <c r="E157" s="243"/>
      <c r="F157" s="243"/>
      <c r="G157" s="243"/>
      <c r="H157" s="243"/>
      <c r="I157" s="243"/>
      <c r="J157" s="243"/>
      <c r="K157" s="197"/>
    </row>
    <row r="158" spans="1:11" ht="14.25" hidden="1">
      <c r="A158" s="243"/>
      <c r="B158" s="243"/>
      <c r="C158" s="243"/>
      <c r="D158" s="243"/>
      <c r="E158" s="243"/>
      <c r="F158" s="243"/>
      <c r="G158" s="243"/>
      <c r="H158" s="243"/>
      <c r="I158" s="243"/>
      <c r="J158" s="243"/>
      <c r="K158" s="197"/>
    </row>
    <row r="159" spans="1:11" ht="14.25" hidden="1">
      <c r="A159" s="243"/>
      <c r="B159" s="243"/>
      <c r="C159" s="243"/>
      <c r="D159" s="243"/>
      <c r="E159" s="243"/>
      <c r="F159" s="243"/>
      <c r="G159" s="243"/>
      <c r="H159" s="243"/>
      <c r="I159" s="243"/>
      <c r="J159" s="243"/>
      <c r="K159" s="197"/>
    </row>
    <row r="160" spans="1:11" ht="14.25" hidden="1">
      <c r="A160" s="243"/>
      <c r="B160" s="243"/>
      <c r="C160" s="243"/>
      <c r="D160" s="243"/>
      <c r="E160" s="243"/>
      <c r="F160" s="243"/>
      <c r="G160" s="243"/>
      <c r="H160" s="243"/>
      <c r="I160" s="243"/>
      <c r="J160" s="243"/>
      <c r="K160" s="197"/>
    </row>
    <row r="161" spans="1:11" ht="14.25" hidden="1">
      <c r="A161" s="243"/>
      <c r="B161" s="243"/>
      <c r="C161" s="243"/>
      <c r="D161" s="243"/>
      <c r="E161" s="243"/>
      <c r="F161" s="243"/>
      <c r="G161" s="243"/>
      <c r="H161" s="243"/>
      <c r="I161" s="243"/>
      <c r="J161" s="243"/>
      <c r="K161" s="197"/>
    </row>
    <row r="162" spans="1:11" ht="14.25" hidden="1">
      <c r="A162" s="243"/>
      <c r="B162" s="243"/>
      <c r="C162" s="243"/>
      <c r="D162" s="243"/>
      <c r="E162" s="243"/>
      <c r="F162" s="243"/>
      <c r="G162" s="243"/>
      <c r="H162" s="243"/>
      <c r="I162" s="243"/>
      <c r="J162" s="243"/>
      <c r="K162" s="197"/>
    </row>
    <row r="163" spans="1:11" ht="14.25" hidden="1">
      <c r="A163" s="243"/>
      <c r="B163" s="243"/>
      <c r="C163" s="243"/>
      <c r="D163" s="243"/>
      <c r="E163" s="243"/>
      <c r="F163" s="243"/>
      <c r="G163" s="243"/>
      <c r="H163" s="243"/>
      <c r="I163" s="243"/>
      <c r="J163" s="243"/>
      <c r="K163" s="197"/>
    </row>
    <row r="164" spans="1:11" ht="14.25" hidden="1">
      <c r="A164" s="243"/>
      <c r="B164" s="243"/>
      <c r="C164" s="243"/>
      <c r="D164" s="243"/>
      <c r="E164" s="243"/>
      <c r="F164" s="243"/>
      <c r="G164" s="243"/>
      <c r="H164" s="243"/>
      <c r="I164" s="243"/>
      <c r="J164" s="243"/>
      <c r="K164" s="197"/>
    </row>
    <row r="165" spans="1:11" ht="14.25" hidden="1">
      <c r="A165" s="243"/>
      <c r="B165" s="243"/>
      <c r="C165" s="243"/>
      <c r="D165" s="243"/>
      <c r="E165" s="243"/>
      <c r="F165" s="243"/>
      <c r="G165" s="243"/>
      <c r="H165" s="243"/>
      <c r="I165" s="243"/>
      <c r="J165" s="243"/>
      <c r="K165" s="197"/>
    </row>
    <row r="166" spans="1:11" ht="14.25" hidden="1">
      <c r="A166" s="243"/>
      <c r="B166" s="243"/>
      <c r="C166" s="243"/>
      <c r="D166" s="243"/>
      <c r="E166" s="243"/>
      <c r="F166" s="243"/>
      <c r="G166" s="243"/>
      <c r="H166" s="243"/>
      <c r="I166" s="243"/>
      <c r="J166" s="243"/>
      <c r="K166" s="197"/>
    </row>
    <row r="167" spans="1:11" ht="14.25" hidden="1">
      <c r="A167" s="243"/>
      <c r="B167" s="243"/>
      <c r="C167" s="243"/>
      <c r="D167" s="243"/>
      <c r="E167" s="243"/>
      <c r="F167" s="243"/>
      <c r="G167" s="243"/>
      <c r="H167" s="243"/>
      <c r="I167" s="243"/>
      <c r="J167" s="243"/>
      <c r="K167" s="197"/>
    </row>
    <row r="168" spans="1:11" ht="14.25" hidden="1">
      <c r="A168" s="243"/>
      <c r="B168" s="243"/>
      <c r="C168" s="243"/>
      <c r="D168" s="243"/>
      <c r="E168" s="243"/>
      <c r="F168" s="243"/>
      <c r="G168" s="243"/>
      <c r="H168" s="243"/>
      <c r="I168" s="243"/>
      <c r="J168" s="243"/>
      <c r="K168" s="197"/>
    </row>
    <row r="169" spans="1:11" ht="14.25" hidden="1">
      <c r="A169" s="243"/>
      <c r="B169" s="243"/>
      <c r="C169" s="243"/>
      <c r="D169" s="243"/>
      <c r="E169" s="243"/>
      <c r="F169" s="243"/>
      <c r="G169" s="243"/>
      <c r="H169" s="243"/>
      <c r="I169" s="243"/>
      <c r="J169" s="243"/>
      <c r="K169" s="197"/>
    </row>
    <row r="170" spans="1:11" ht="14.25" hidden="1">
      <c r="A170" s="243"/>
      <c r="B170" s="243"/>
      <c r="C170" s="243"/>
      <c r="D170" s="243"/>
      <c r="E170" s="243"/>
      <c r="F170" s="243"/>
      <c r="G170" s="243"/>
      <c r="H170" s="243"/>
      <c r="I170" s="243"/>
      <c r="J170" s="243"/>
      <c r="K170" s="197"/>
    </row>
    <row r="171" spans="1:11" ht="14.25" hidden="1">
      <c r="A171" s="243"/>
      <c r="B171" s="243"/>
      <c r="C171" s="243"/>
      <c r="D171" s="243"/>
      <c r="E171" s="243"/>
      <c r="F171" s="243"/>
      <c r="G171" s="243"/>
      <c r="H171" s="243"/>
      <c r="I171" s="243"/>
      <c r="J171" s="243"/>
      <c r="K171" s="197"/>
    </row>
    <row r="172" spans="1:11" ht="14.25" hidden="1">
      <c r="A172" s="243"/>
      <c r="B172" s="243"/>
      <c r="C172" s="243"/>
      <c r="D172" s="243"/>
      <c r="E172" s="243"/>
      <c r="F172" s="243"/>
      <c r="G172" s="243"/>
      <c r="H172" s="243"/>
      <c r="I172" s="243"/>
      <c r="J172" s="243"/>
      <c r="K172" s="197"/>
    </row>
    <row r="173" spans="1:11" ht="14.25" hidden="1">
      <c r="A173" s="243"/>
      <c r="B173" s="243"/>
      <c r="C173" s="243"/>
      <c r="D173" s="243"/>
      <c r="E173" s="243"/>
      <c r="F173" s="243"/>
      <c r="G173" s="243"/>
      <c r="H173" s="243"/>
      <c r="I173" s="243"/>
      <c r="J173" s="243"/>
      <c r="K173" s="197"/>
    </row>
    <row r="174" spans="1:11" ht="14.25" hidden="1">
      <c r="A174" s="243"/>
      <c r="B174" s="243"/>
      <c r="C174" s="243"/>
      <c r="D174" s="243"/>
      <c r="E174" s="243"/>
      <c r="F174" s="243"/>
      <c r="G174" s="243"/>
      <c r="H174" s="243"/>
      <c r="I174" s="243"/>
      <c r="J174" s="243"/>
      <c r="K174" s="197"/>
    </row>
    <row r="175" spans="1:11" ht="14.25" hidden="1">
      <c r="A175" s="243"/>
      <c r="B175" s="243"/>
      <c r="C175" s="243"/>
      <c r="D175" s="243"/>
      <c r="E175" s="243"/>
      <c r="F175" s="243"/>
      <c r="G175" s="243"/>
      <c r="H175" s="243"/>
      <c r="I175" s="243"/>
      <c r="J175" s="243"/>
      <c r="K175" s="197"/>
    </row>
    <row r="176" spans="1:11" ht="14.25" hidden="1">
      <c r="A176" s="243"/>
      <c r="B176" s="243"/>
      <c r="C176" s="243"/>
      <c r="D176" s="243"/>
      <c r="E176" s="243"/>
      <c r="F176" s="243"/>
      <c r="G176" s="243"/>
      <c r="H176" s="243"/>
      <c r="I176" s="243"/>
      <c r="J176" s="243"/>
      <c r="K176" s="197"/>
    </row>
    <row r="177" spans="1:11" ht="14.25" hidden="1">
      <c r="A177" s="243"/>
      <c r="B177" s="243"/>
      <c r="C177" s="243"/>
      <c r="D177" s="243"/>
      <c r="E177" s="243"/>
      <c r="F177" s="243"/>
      <c r="G177" s="243"/>
      <c r="H177" s="243"/>
      <c r="I177" s="243"/>
      <c r="J177" s="243"/>
      <c r="K177" s="197"/>
    </row>
    <row r="178" spans="1:11" ht="14.25" hidden="1">
      <c r="A178" s="243"/>
      <c r="B178" s="243"/>
      <c r="C178" s="243"/>
      <c r="D178" s="243"/>
      <c r="E178" s="243"/>
      <c r="F178" s="243"/>
      <c r="G178" s="243"/>
      <c r="H178" s="243"/>
      <c r="I178" s="243"/>
      <c r="J178" s="243"/>
      <c r="K178" s="197"/>
    </row>
    <row r="179" spans="1:11" ht="14.25" hidden="1">
      <c r="A179" s="243"/>
      <c r="B179" s="243"/>
      <c r="C179" s="243"/>
      <c r="D179" s="243"/>
      <c r="E179" s="243"/>
      <c r="F179" s="243"/>
      <c r="G179" s="243"/>
      <c r="H179" s="243"/>
      <c r="I179" s="243"/>
      <c r="J179" s="243"/>
      <c r="K179" s="197"/>
    </row>
    <row r="180" spans="1:11" ht="14.25" hidden="1">
      <c r="A180" s="243"/>
      <c r="B180" s="243"/>
      <c r="C180" s="243"/>
      <c r="D180" s="243"/>
      <c r="E180" s="243"/>
      <c r="F180" s="243"/>
      <c r="G180" s="243"/>
      <c r="H180" s="243"/>
      <c r="I180" s="243"/>
      <c r="J180" s="243"/>
      <c r="K180" s="197"/>
    </row>
    <row r="181" spans="1:11" ht="14.25" hidden="1">
      <c r="A181" s="243"/>
      <c r="B181" s="243"/>
      <c r="C181" s="243"/>
      <c r="D181" s="243"/>
      <c r="E181" s="243"/>
      <c r="F181" s="243"/>
      <c r="G181" s="243"/>
      <c r="H181" s="243"/>
      <c r="I181" s="243"/>
      <c r="J181" s="243"/>
      <c r="K181" s="197"/>
    </row>
    <row r="182" spans="1:11" ht="14.25" hidden="1">
      <c r="A182" s="243"/>
      <c r="B182" s="197"/>
      <c r="C182" s="197"/>
      <c r="D182" s="197"/>
      <c r="E182" s="197"/>
      <c r="F182" s="197"/>
      <c r="G182" s="197"/>
      <c r="H182" s="197"/>
      <c r="I182" s="197"/>
      <c r="J182" s="197"/>
      <c r="K182" s="197"/>
    </row>
    <row r="183" spans="1:11" ht="14.25" hidden="1">
      <c r="A183" s="197"/>
      <c r="B183" s="197"/>
      <c r="C183" s="197"/>
      <c r="D183" s="197"/>
      <c r="E183" s="197"/>
      <c r="F183" s="197"/>
      <c r="G183" s="197"/>
      <c r="H183" s="197"/>
      <c r="I183" s="197"/>
      <c r="J183" s="197"/>
      <c r="K183" s="197"/>
    </row>
    <row r="184" spans="1:11" ht="14.25" hidden="1">
      <c r="A184" s="197"/>
      <c r="B184" s="197"/>
      <c r="C184" s="197"/>
      <c r="D184" s="197"/>
      <c r="E184" s="197"/>
      <c r="F184" s="197"/>
      <c r="G184" s="197"/>
      <c r="H184" s="197"/>
      <c r="I184" s="197"/>
      <c r="J184" s="197"/>
      <c r="K184" s="197"/>
    </row>
    <row r="185" spans="1:11" ht="14.25" hidden="1">
      <c r="A185" s="197"/>
      <c r="B185" s="197"/>
      <c r="C185" s="197"/>
      <c r="D185" s="197"/>
      <c r="E185" s="197"/>
      <c r="F185" s="197"/>
      <c r="G185" s="197"/>
      <c r="H185" s="197"/>
      <c r="I185" s="197"/>
      <c r="J185" s="197"/>
      <c r="K185" s="197"/>
    </row>
    <row r="186" spans="1:11" ht="14.25" hidden="1">
      <c r="A186" s="197"/>
      <c r="B186" s="197"/>
      <c r="C186" s="197"/>
      <c r="D186" s="197"/>
      <c r="E186" s="197"/>
      <c r="F186" s="197"/>
      <c r="G186" s="197"/>
      <c r="H186" s="197"/>
      <c r="I186" s="197"/>
      <c r="J186" s="197"/>
      <c r="K186" s="197"/>
    </row>
    <row r="187" spans="1:11" ht="14.25" hidden="1">
      <c r="A187" s="197"/>
      <c r="B187" s="197"/>
      <c r="C187" s="197"/>
      <c r="D187" s="197"/>
      <c r="E187" s="197"/>
      <c r="F187" s="197"/>
      <c r="G187" s="197"/>
      <c r="H187" s="197"/>
      <c r="I187" s="197"/>
      <c r="J187" s="197"/>
      <c r="K187" s="197"/>
    </row>
    <row r="188" spans="1:11" ht="14.25" hidden="1">
      <c r="A188" s="197"/>
      <c r="B188" s="197"/>
      <c r="C188" s="197"/>
      <c r="D188" s="197"/>
      <c r="E188" s="197"/>
      <c r="F188" s="197"/>
      <c r="G188" s="197"/>
      <c r="H188" s="197"/>
      <c r="I188" s="197"/>
      <c r="J188" s="197"/>
      <c r="K188" s="197"/>
    </row>
    <row r="189" spans="1:11" ht="14.25" hidden="1">
      <c r="A189" s="197"/>
      <c r="B189" s="197"/>
      <c r="C189" s="197"/>
      <c r="D189" s="197"/>
      <c r="E189" s="197"/>
      <c r="F189" s="197"/>
      <c r="G189" s="197"/>
      <c r="H189" s="197"/>
      <c r="I189" s="197"/>
      <c r="J189" s="197"/>
      <c r="K189" s="197"/>
    </row>
    <row r="190" spans="1:11" ht="14.25" hidden="1">
      <c r="A190" s="197"/>
      <c r="B190" s="197"/>
      <c r="C190" s="197"/>
      <c r="D190" s="197"/>
      <c r="E190" s="197"/>
      <c r="F190" s="197"/>
      <c r="G190" s="197"/>
      <c r="H190" s="197"/>
      <c r="I190" s="197"/>
      <c r="J190" s="197"/>
      <c r="K190" s="197"/>
    </row>
    <row r="191" spans="1:11" ht="14.25">
      <c r="A191" s="197"/>
      <c r="B191" s="197"/>
      <c r="C191" s="197"/>
      <c r="D191" s="197"/>
      <c r="E191" s="197"/>
      <c r="F191" s="197"/>
      <c r="G191" s="197"/>
      <c r="H191" s="197"/>
      <c r="I191" s="197"/>
      <c r="J191" s="197"/>
      <c r="K191" s="197"/>
    </row>
    <row r="192" spans="1:11" ht="14.25">
      <c r="A192" s="197"/>
      <c r="B192" s="197"/>
      <c r="C192" s="197"/>
      <c r="D192" s="197"/>
      <c r="E192" s="197"/>
      <c r="F192" s="197"/>
      <c r="G192" s="197"/>
      <c r="H192" s="197"/>
      <c r="I192" s="197"/>
      <c r="J192" s="197"/>
      <c r="K192" s="197"/>
    </row>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sheetData>
  <sheetProtection sheet="1" objects="1" scenarios="1"/>
  <mergeCells count="19">
    <mergeCell ref="A116:J126"/>
    <mergeCell ref="A127:J129"/>
    <mergeCell ref="A105:J113"/>
    <mergeCell ref="A67:J68"/>
    <mergeCell ref="A4:J9"/>
    <mergeCell ref="D38:J39"/>
    <mergeCell ref="A93:J102"/>
    <mergeCell ref="A56:J62"/>
    <mergeCell ref="A50:B50"/>
    <mergeCell ref="A1:J3"/>
    <mergeCell ref="A114:D115"/>
    <mergeCell ref="A69:D70"/>
    <mergeCell ref="A80:D81"/>
    <mergeCell ref="A82:J90"/>
    <mergeCell ref="A91:I92"/>
    <mergeCell ref="A10:D11"/>
    <mergeCell ref="A103:I104"/>
    <mergeCell ref="A71:J79"/>
    <mergeCell ref="A63:J66"/>
  </mergeCells>
  <printOptions/>
  <pageMargins left="0.75" right="0.45" top="0.75" bottom="0.5" header="0.5" footer="0.5"/>
  <pageSetup fitToHeight="0" horizontalDpi="600" verticalDpi="600" orientation="portrait" scale="80" r:id="rId3"/>
  <headerFooter alignWithMargins="0">
    <oddHeader>&amp;LRock_Chute.xls&amp;RPage &amp;P of 3</oddHeader>
  </headerFooter>
  <rowBreaks count="2" manualBreakCount="2">
    <brk id="49" max="9" man="1"/>
    <brk id="90"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Lorenz</dc:creator>
  <cp:keywords/>
  <dc:description/>
  <cp:lastModifiedBy>scott.mueller</cp:lastModifiedBy>
  <cp:lastPrinted>2011-01-10T14:01:33Z</cp:lastPrinted>
  <dcterms:created xsi:type="dcterms:W3CDTF">1999-09-20T16:38:18Z</dcterms:created>
  <dcterms:modified xsi:type="dcterms:W3CDTF">2012-07-18T19:00:54Z</dcterms:modified>
  <cp:category/>
  <cp:version/>
  <cp:contentType/>
  <cp:contentStatus/>
</cp:coreProperties>
</file>