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WPDOCS\RES\Lysimeters\Final\Ag_Data_Commons\Crop_growth_&amp;_yield_data\"/>
    </mc:Choice>
  </mc:AlternateContent>
  <xr:revisionPtr revIDLastSave="0" documentId="13_ncr:1_{15EA6156-065B-49A1-8C72-79C798228603}" xr6:coauthVersionLast="47" xr6:coauthVersionMax="47" xr10:uidLastSave="{00000000-0000-0000-0000-000000000000}"/>
  <bookViews>
    <workbookView xWindow="-120" yWindow="-120" windowWidth="29040" windowHeight="15225" tabRatio="825" xr2:uid="{00000000-000D-0000-FFFF-FFFF00000000}"/>
  </bookViews>
  <sheets>
    <sheet name="1999 alfalfa Introduction" sheetId="6" r:id="rId1"/>
    <sheet name="Dic. 1999 alfalfa growth" sheetId="4" r:id="rId2"/>
    <sheet name="1999 alfalfa growth" sheetId="1" r:id="rId3"/>
    <sheet name="Dic. 1999 alfalfa stem length" sheetId="7" r:id="rId4"/>
    <sheet name="1999 alfalfa stem length" sheetId="5" r:id="rId5"/>
    <sheet name="Dic. 1999 alfalfa yield" sheetId="9" r:id="rId6"/>
    <sheet name="1999 alfalfa yield" sheetId="8" r:id="rId7"/>
    <sheet name="Graphs" sheetId="2"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F203" i="2" l="1"/>
  <c r="AF195" i="2"/>
  <c r="AG117" i="2"/>
  <c r="AF113" i="2"/>
  <c r="K134" i="1"/>
  <c r="K130" i="1"/>
  <c r="D19" i="5"/>
  <c r="D17" i="5"/>
  <c r="D16" i="5"/>
  <c r="D15" i="5"/>
  <c r="D14" i="5"/>
  <c r="D18" i="5" s="1"/>
  <c r="D13" i="5"/>
  <c r="D12" i="5"/>
  <c r="D10" i="5"/>
  <c r="D9" i="5"/>
  <c r="D8" i="5"/>
  <c r="D7" i="5"/>
  <c r="D11" i="5" s="1"/>
  <c r="D5" i="5"/>
  <c r="D4" i="5"/>
  <c r="D3" i="5"/>
  <c r="D2" i="5"/>
  <c r="D6" i="5" s="1"/>
  <c r="AH8" i="2"/>
  <c r="AO8" i="2"/>
  <c r="AR8" i="2"/>
  <c r="AH9" i="2"/>
  <c r="AR9" i="2"/>
  <c r="AR10" i="2"/>
  <c r="AH11" i="2"/>
  <c r="AO11" i="2"/>
  <c r="AR11" i="2"/>
  <c r="AH12" i="2"/>
  <c r="AR12" i="2"/>
  <c r="AR13" i="2"/>
  <c r="AH14" i="2"/>
  <c r="AO14" i="2"/>
  <c r="AR14" i="2"/>
  <c r="AH15" i="2"/>
  <c r="AR15" i="2"/>
  <c r="AH16" i="2"/>
  <c r="AR16" i="2"/>
  <c r="AR17" i="2"/>
  <c r="AH18" i="2"/>
  <c r="AO18" i="2"/>
  <c r="AR18" i="2"/>
  <c r="AH19" i="2"/>
  <c r="AR19" i="2"/>
  <c r="AH20" i="2"/>
  <c r="AR20" i="2"/>
  <c r="AH21" i="2"/>
  <c r="AR21" i="2"/>
  <c r="AH22" i="2"/>
  <c r="AR22" i="2"/>
  <c r="AR23" i="2"/>
  <c r="AR24" i="2"/>
  <c r="AR25" i="2"/>
  <c r="AR26" i="2"/>
  <c r="AR27" i="2"/>
  <c r="AR28" i="2"/>
  <c r="AR29" i="2"/>
  <c r="AR30" i="2"/>
  <c r="AR31" i="2"/>
  <c r="AR32" i="2"/>
  <c r="AR33" i="2"/>
  <c r="AR34" i="2"/>
  <c r="AR35" i="2"/>
  <c r="AD118" i="2"/>
  <c r="AD119" i="2"/>
  <c r="AD120" i="2"/>
  <c r="AD121" i="2"/>
  <c r="AF121" i="2"/>
  <c r="AK16" i="2" s="1"/>
  <c r="AE122" i="2"/>
  <c r="AE123" i="2"/>
  <c r="AE124" i="2"/>
  <c r="AE125" i="2"/>
  <c r="AG125" i="2"/>
  <c r="AL16" i="2" s="1"/>
  <c r="AE212" i="2"/>
  <c r="AE213" i="2"/>
  <c r="AE214" i="2"/>
  <c r="AE215" i="2"/>
  <c r="AG215" i="2"/>
  <c r="AL21" i="2" s="1"/>
  <c r="AF219" i="2"/>
  <c r="AK22" i="2" s="1"/>
  <c r="AG223" i="2"/>
  <c r="AL22" i="2" s="1"/>
  <c r="AJ21" i="2" l="1"/>
  <c r="AJ16" i="2"/>
  <c r="AI16" i="2"/>
  <c r="D2" i="1"/>
  <c r="K2" i="1"/>
  <c r="L2" i="1"/>
  <c r="Y8" i="2" s="1"/>
  <c r="D3" i="1"/>
  <c r="AD9" i="2" s="1"/>
  <c r="K3" i="1"/>
  <c r="L3" i="1"/>
  <c r="Y9" i="2" s="1"/>
  <c r="D4" i="1"/>
  <c r="AD10" i="2" s="1"/>
  <c r="K4" i="1"/>
  <c r="L4" i="1"/>
  <c r="Y10" i="2" s="1"/>
  <c r="D5" i="1"/>
  <c r="AD11" i="2" s="1"/>
  <c r="K5" i="1"/>
  <c r="L5" i="1"/>
  <c r="Y11" i="2" s="1"/>
  <c r="L7" i="1"/>
  <c r="Z12" i="2" s="1"/>
  <c r="D6" i="1"/>
  <c r="AF11" i="2" s="1"/>
  <c r="AK8" i="2" s="1"/>
  <c r="L8" i="1"/>
  <c r="Z13" i="2" s="1"/>
  <c r="D7" i="1"/>
  <c r="AE12" i="2" s="1"/>
  <c r="K7" i="1"/>
  <c r="L9" i="1"/>
  <c r="Z14" i="2" s="1"/>
  <c r="D8" i="1"/>
  <c r="AE13" i="2" s="1"/>
  <c r="K8" i="1"/>
  <c r="L10" i="1"/>
  <c r="Z15" i="2" s="1"/>
  <c r="D9" i="1"/>
  <c r="AE14" i="2" s="1"/>
  <c r="K9" i="1"/>
  <c r="L12" i="1"/>
  <c r="Y16" i="2" s="1"/>
  <c r="D10" i="1"/>
  <c r="AE15" i="2" s="1"/>
  <c r="K10" i="1"/>
  <c r="L13" i="1"/>
  <c r="Y17" i="2" s="1"/>
  <c r="L14" i="1"/>
  <c r="Y18" i="2" s="1"/>
  <c r="D11" i="1"/>
  <c r="AG15" i="2" s="1"/>
  <c r="AL8" i="2" s="1"/>
  <c r="L15" i="1"/>
  <c r="Y19" i="2" s="1"/>
  <c r="L16" i="1"/>
  <c r="Z20" i="2" s="1"/>
  <c r="L17" i="1"/>
  <c r="Z21" i="2" s="1"/>
  <c r="L18" i="1"/>
  <c r="Z22" i="2" s="1"/>
  <c r="L19" i="1"/>
  <c r="Z23" i="2" s="1"/>
  <c r="D12" i="1"/>
  <c r="AD16" i="2" s="1"/>
  <c r="K12" i="1"/>
  <c r="E106" i="1"/>
  <c r="D13" i="1"/>
  <c r="AD17" i="2" s="1"/>
  <c r="K13" i="1"/>
  <c r="E107" i="1"/>
  <c r="L107" i="1" s="1"/>
  <c r="AA25" i="2" s="1"/>
  <c r="D14" i="1"/>
  <c r="K14" i="1"/>
  <c r="E108" i="1"/>
  <c r="L108" i="1" s="1"/>
  <c r="AA26" i="2" s="1"/>
  <c r="D15" i="1"/>
  <c r="AD19" i="2" s="1"/>
  <c r="K15" i="1"/>
  <c r="E109" i="1"/>
  <c r="L109" i="1" s="1"/>
  <c r="AA27" i="2" s="1"/>
  <c r="E110" i="1"/>
  <c r="E111" i="1"/>
  <c r="L111" i="1" s="1"/>
  <c r="AB29" i="2" s="1"/>
  <c r="D16" i="1"/>
  <c r="AE20" i="2" s="1"/>
  <c r="K16" i="1"/>
  <c r="E112" i="1"/>
  <c r="L112" i="1" s="1"/>
  <c r="AB30" i="2" s="1"/>
  <c r="D17" i="1"/>
  <c r="AE21" i="2" s="1"/>
  <c r="K17" i="1"/>
  <c r="E113" i="1"/>
  <c r="L113" i="1" s="1"/>
  <c r="AB31" i="2" s="1"/>
  <c r="D18" i="1"/>
  <c r="AE22" i="2" s="1"/>
  <c r="K18" i="1"/>
  <c r="D19" i="1"/>
  <c r="AE23" i="2" s="1"/>
  <c r="K19" i="1"/>
  <c r="D106" i="1"/>
  <c r="J106" i="1"/>
  <c r="K106" i="1" s="1"/>
  <c r="D110" i="1"/>
  <c r="J110" i="1"/>
  <c r="K110" i="1" s="1"/>
  <c r="D20" i="1"/>
  <c r="AD55" i="2" s="1"/>
  <c r="K20" i="1"/>
  <c r="L20" i="1"/>
  <c r="Y55" i="2" s="1"/>
  <c r="D21" i="1"/>
  <c r="AD56" i="2" s="1"/>
  <c r="K21" i="1"/>
  <c r="L21" i="1"/>
  <c r="Y56" i="2" s="1"/>
  <c r="D22" i="1"/>
  <c r="AD57" i="2" s="1"/>
  <c r="K22" i="1"/>
  <c r="L22" i="1"/>
  <c r="Y57" i="2" s="1"/>
  <c r="D23" i="1"/>
  <c r="AD58" i="2" s="1"/>
  <c r="K23" i="1"/>
  <c r="L23" i="1"/>
  <c r="Y58" i="2" s="1"/>
  <c r="L25" i="1"/>
  <c r="Z59" i="2" s="1"/>
  <c r="D24" i="1"/>
  <c r="AF58" i="2" s="1"/>
  <c r="AK11" i="2" s="1"/>
  <c r="L26" i="1"/>
  <c r="Z60" i="2" s="1"/>
  <c r="D25" i="1"/>
  <c r="AE59" i="2" s="1"/>
  <c r="K25" i="1"/>
  <c r="L27" i="1"/>
  <c r="Z61" i="2" s="1"/>
  <c r="D26" i="1"/>
  <c r="AE60" i="2" s="1"/>
  <c r="K26" i="1"/>
  <c r="L28" i="1"/>
  <c r="Z62" i="2" s="1"/>
  <c r="D27" i="1"/>
  <c r="AE61" i="2" s="1"/>
  <c r="K27" i="1"/>
  <c r="L30" i="1"/>
  <c r="Y63" i="2" s="1"/>
  <c r="D28" i="1"/>
  <c r="AE62" i="2" s="1"/>
  <c r="K28" i="1"/>
  <c r="L31" i="1"/>
  <c r="Y64" i="2" s="1"/>
  <c r="L32" i="1"/>
  <c r="Y65" i="2" s="1"/>
  <c r="D29" i="1"/>
  <c r="AG62" i="2" s="1"/>
  <c r="AL11" i="2" s="1"/>
  <c r="L33" i="1"/>
  <c r="Y66" i="2" s="1"/>
  <c r="L34" i="1"/>
  <c r="Z67" i="2" s="1"/>
  <c r="L35" i="1"/>
  <c r="Z68" i="2" s="1"/>
  <c r="L36" i="1"/>
  <c r="Z69" i="2" s="1"/>
  <c r="L37" i="1"/>
  <c r="Z70" i="2" s="1"/>
  <c r="D30" i="1"/>
  <c r="AD63" i="2" s="1"/>
  <c r="K30" i="1"/>
  <c r="E114" i="1"/>
  <c r="D31" i="1"/>
  <c r="AD64" i="2" s="1"/>
  <c r="K31" i="1"/>
  <c r="E115" i="1"/>
  <c r="L115" i="1" s="1"/>
  <c r="AA72" i="2" s="1"/>
  <c r="D32" i="1"/>
  <c r="AD65" i="2" s="1"/>
  <c r="K32" i="1"/>
  <c r="E116" i="1"/>
  <c r="L116" i="1" s="1"/>
  <c r="AA73" i="2" s="1"/>
  <c r="D33" i="1"/>
  <c r="AD66" i="2" s="1"/>
  <c r="K33" i="1"/>
  <c r="E117" i="1"/>
  <c r="L117" i="1" s="1"/>
  <c r="AA74" i="2" s="1"/>
  <c r="E118" i="1"/>
  <c r="E119" i="1"/>
  <c r="L119" i="1" s="1"/>
  <c r="D34" i="1"/>
  <c r="AE67" i="2" s="1"/>
  <c r="K34" i="1"/>
  <c r="E120" i="1"/>
  <c r="L120" i="1" s="1"/>
  <c r="AB77" i="2" s="1"/>
  <c r="D35" i="1"/>
  <c r="AE68" i="2" s="1"/>
  <c r="K35" i="1"/>
  <c r="E121" i="1"/>
  <c r="L121" i="1" s="1"/>
  <c r="AB78" i="2" s="1"/>
  <c r="D36" i="1"/>
  <c r="AE69" i="2" s="1"/>
  <c r="K36" i="1"/>
  <c r="D37" i="1"/>
  <c r="AE70" i="2" s="1"/>
  <c r="K37" i="1"/>
  <c r="D114" i="1"/>
  <c r="J114" i="1"/>
  <c r="K114" i="1" s="1"/>
  <c r="D118" i="1"/>
  <c r="J118" i="1"/>
  <c r="K118" i="1" s="1"/>
  <c r="D38" i="1"/>
  <c r="AD102" i="2" s="1"/>
  <c r="K38" i="1"/>
  <c r="L38" i="1"/>
  <c r="Y102" i="2" s="1"/>
  <c r="D39" i="1"/>
  <c r="AD103" i="2" s="1"/>
  <c r="K39" i="1"/>
  <c r="L39" i="1"/>
  <c r="D40" i="1"/>
  <c r="AD104" i="2" s="1"/>
  <c r="K40" i="1"/>
  <c r="L40" i="1"/>
  <c r="Y104" i="2" s="1"/>
  <c r="D41" i="1"/>
  <c r="AD105" i="2" s="1"/>
  <c r="K41" i="1"/>
  <c r="L41" i="1"/>
  <c r="Y105" i="2" s="1"/>
  <c r="L43" i="1"/>
  <c r="Z106" i="2" s="1"/>
  <c r="D42" i="1"/>
  <c r="AF105" i="2" s="1"/>
  <c r="AK14" i="2" s="1"/>
  <c r="L44" i="1"/>
  <c r="Z107" i="2" s="1"/>
  <c r="D43" i="1"/>
  <c r="AE106" i="2" s="1"/>
  <c r="K43" i="1"/>
  <c r="L45" i="1"/>
  <c r="Z108" i="2" s="1"/>
  <c r="D44" i="1"/>
  <c r="AE107" i="2" s="1"/>
  <c r="K44" i="1"/>
  <c r="L46" i="1"/>
  <c r="Z109" i="2" s="1"/>
  <c r="D45" i="1"/>
  <c r="AE108" i="2" s="1"/>
  <c r="K45" i="1"/>
  <c r="L48" i="1"/>
  <c r="Y110" i="2" s="1"/>
  <c r="D46" i="1"/>
  <c r="AE109" i="2" s="1"/>
  <c r="K46" i="1"/>
  <c r="L49" i="1"/>
  <c r="Y111" i="2" s="1"/>
  <c r="L50" i="1"/>
  <c r="Y112" i="2" s="1"/>
  <c r="D47" i="1"/>
  <c r="AG109" i="2" s="1"/>
  <c r="AL14" i="2" s="1"/>
  <c r="L51" i="1"/>
  <c r="Y113" i="2" s="1"/>
  <c r="L53" i="1"/>
  <c r="Z114" i="2" s="1"/>
  <c r="L54" i="1"/>
  <c r="Z115" i="2" s="1"/>
  <c r="L55" i="1"/>
  <c r="Z116" i="2" s="1"/>
  <c r="L56" i="1"/>
  <c r="Z117" i="2" s="1"/>
  <c r="D48" i="1"/>
  <c r="AD110" i="2" s="1"/>
  <c r="K48" i="1"/>
  <c r="L58" i="1"/>
  <c r="Y118" i="2" s="1"/>
  <c r="D49" i="1"/>
  <c r="AD111" i="2" s="1"/>
  <c r="K49" i="1"/>
  <c r="L59" i="1"/>
  <c r="Y119" i="2" s="1"/>
  <c r="D50" i="1"/>
  <c r="AD112" i="2" s="1"/>
  <c r="K50" i="1"/>
  <c r="L60" i="1"/>
  <c r="Y120" i="2" s="1"/>
  <c r="D51" i="1"/>
  <c r="AD113" i="2" s="1"/>
  <c r="K51" i="1"/>
  <c r="L61" i="1"/>
  <c r="Y121" i="2" s="1"/>
  <c r="L62" i="1"/>
  <c r="Z122" i="2" s="1"/>
  <c r="D52" i="1"/>
  <c r="L63" i="1"/>
  <c r="Z123" i="2" s="1"/>
  <c r="D53" i="1"/>
  <c r="AE114" i="2" s="1"/>
  <c r="K53" i="1"/>
  <c r="L64" i="1"/>
  <c r="Z124" i="2" s="1"/>
  <c r="D54" i="1"/>
  <c r="AE115" i="2" s="1"/>
  <c r="K54" i="1"/>
  <c r="L65" i="1"/>
  <c r="Z125" i="2" s="1"/>
  <c r="D55" i="1"/>
  <c r="AE116" i="2" s="1"/>
  <c r="K55" i="1"/>
  <c r="E122" i="1"/>
  <c r="D56" i="1"/>
  <c r="AE117" i="2" s="1"/>
  <c r="K56" i="1"/>
  <c r="E123" i="1"/>
  <c r="L123" i="1" s="1"/>
  <c r="AA127" i="2" s="1"/>
  <c r="E124" i="1"/>
  <c r="L124" i="1" s="1"/>
  <c r="AA128" i="2" s="1"/>
  <c r="D57" i="1"/>
  <c r="E125" i="1"/>
  <c r="L125" i="1" s="1"/>
  <c r="AA129" i="2" s="1"/>
  <c r="E126" i="1"/>
  <c r="E127" i="1"/>
  <c r="L127" i="1" s="1"/>
  <c r="AB131" i="2" s="1"/>
  <c r="E128" i="1"/>
  <c r="L128" i="1" s="1"/>
  <c r="AB132" i="2" s="1"/>
  <c r="E129" i="1"/>
  <c r="L129" i="1" s="1"/>
  <c r="AB133" i="2" s="1"/>
  <c r="K58" i="1"/>
  <c r="K59" i="1"/>
  <c r="K60" i="1"/>
  <c r="K61" i="1"/>
  <c r="AK15" i="2"/>
  <c r="K62" i="1"/>
  <c r="K63" i="1"/>
  <c r="K64" i="1"/>
  <c r="K65" i="1"/>
  <c r="AL15" i="2"/>
  <c r="J122" i="1"/>
  <c r="K122" i="1" s="1"/>
  <c r="J126" i="1"/>
  <c r="K126" i="1" s="1"/>
  <c r="D66" i="1"/>
  <c r="AD184" i="2" s="1"/>
  <c r="K66" i="1"/>
  <c r="L66" i="1"/>
  <c r="Y184" i="2" s="1"/>
  <c r="D67" i="1"/>
  <c r="AD185" i="2" s="1"/>
  <c r="K67" i="1"/>
  <c r="L67" i="1"/>
  <c r="Y185" i="2" s="1"/>
  <c r="D68" i="1"/>
  <c r="K68" i="1"/>
  <c r="L68" i="1"/>
  <c r="Y186" i="2" s="1"/>
  <c r="D69" i="1"/>
  <c r="AD187" i="2" s="1"/>
  <c r="K69" i="1"/>
  <c r="L69" i="1"/>
  <c r="L71" i="1"/>
  <c r="D70" i="1"/>
  <c r="AF187" i="2" s="1"/>
  <c r="AK18" i="2" s="1"/>
  <c r="L72" i="1"/>
  <c r="Z189" i="2" s="1"/>
  <c r="D71" i="1"/>
  <c r="AE188" i="2" s="1"/>
  <c r="K71" i="1"/>
  <c r="L73" i="1"/>
  <c r="Z190" i="2" s="1"/>
  <c r="D72" i="1"/>
  <c r="AE189" i="2" s="1"/>
  <c r="K72" i="1"/>
  <c r="L74" i="1"/>
  <c r="Z191" i="2" s="1"/>
  <c r="D73" i="1"/>
  <c r="AE190" i="2" s="1"/>
  <c r="K73" i="1"/>
  <c r="L76" i="1"/>
  <c r="Y192" i="2" s="1"/>
  <c r="D74" i="1"/>
  <c r="AE191" i="2" s="1"/>
  <c r="K74" i="1"/>
  <c r="L77" i="1"/>
  <c r="Y193" i="2" s="1"/>
  <c r="L78" i="1"/>
  <c r="Y194" i="2" s="1"/>
  <c r="D75" i="1"/>
  <c r="AG191" i="2" s="1"/>
  <c r="AL18" i="2" s="1"/>
  <c r="L79" i="1"/>
  <c r="Y195" i="2" s="1"/>
  <c r="L81" i="1"/>
  <c r="Z196" i="2" s="1"/>
  <c r="L82" i="1"/>
  <c r="Z197" i="2" s="1"/>
  <c r="L83" i="1"/>
  <c r="Z198" i="2" s="1"/>
  <c r="L84" i="1"/>
  <c r="Z199" i="2" s="1"/>
  <c r="L86" i="1"/>
  <c r="Y200" i="2" s="1"/>
  <c r="D76" i="1"/>
  <c r="AD192" i="2" s="1"/>
  <c r="K76" i="1"/>
  <c r="L87" i="1"/>
  <c r="Y201" i="2" s="1"/>
  <c r="D77" i="1"/>
  <c r="AD193" i="2" s="1"/>
  <c r="K77" i="1"/>
  <c r="L88" i="1"/>
  <c r="Y202" i="2" s="1"/>
  <c r="D78" i="1"/>
  <c r="AD194" i="2" s="1"/>
  <c r="K78" i="1"/>
  <c r="L89" i="1"/>
  <c r="Y203" i="2" s="1"/>
  <c r="D79" i="1"/>
  <c r="AD195" i="2" s="1"/>
  <c r="K79" i="1"/>
  <c r="L91" i="1"/>
  <c r="Z204" i="2" s="1"/>
  <c r="L92" i="1"/>
  <c r="Z205" i="2" s="1"/>
  <c r="D80" i="1"/>
  <c r="L93" i="1"/>
  <c r="Z206" i="2" s="1"/>
  <c r="D81" i="1"/>
  <c r="AE196" i="2" s="1"/>
  <c r="K81" i="1"/>
  <c r="L94" i="1"/>
  <c r="Z207" i="2" s="1"/>
  <c r="D82" i="1"/>
  <c r="AE197" i="2" s="1"/>
  <c r="K82" i="1"/>
  <c r="L96" i="1"/>
  <c r="Y208" i="2" s="1"/>
  <c r="D83" i="1"/>
  <c r="AE198" i="2" s="1"/>
  <c r="K83" i="1"/>
  <c r="L97" i="1"/>
  <c r="Y209" i="2" s="1"/>
  <c r="D84" i="1"/>
  <c r="AE199" i="2" s="1"/>
  <c r="K84" i="1"/>
  <c r="L98" i="1"/>
  <c r="Y210" i="2" s="1"/>
  <c r="L99" i="1"/>
  <c r="Y211" i="2" s="1"/>
  <c r="D85" i="1"/>
  <c r="AG199" i="2" s="1"/>
  <c r="AL19" i="2" s="1"/>
  <c r="L101" i="1"/>
  <c r="Z212" i="2" s="1"/>
  <c r="L102" i="1"/>
  <c r="Z213" i="2" s="1"/>
  <c r="L103" i="1"/>
  <c r="Z214" i="2" s="1"/>
  <c r="L104" i="1"/>
  <c r="Z215" i="2" s="1"/>
  <c r="E130" i="1"/>
  <c r="E131" i="1"/>
  <c r="L131" i="1" s="1"/>
  <c r="AA217" i="2" s="1"/>
  <c r="D86" i="1"/>
  <c r="K86" i="1"/>
  <c r="E132" i="1"/>
  <c r="L132" i="1" s="1"/>
  <c r="AA218" i="2" s="1"/>
  <c r="D87" i="1"/>
  <c r="AD201" i="2" s="1"/>
  <c r="K87" i="1"/>
  <c r="E133" i="1"/>
  <c r="L133" i="1" s="1"/>
  <c r="AA219" i="2" s="1"/>
  <c r="D88" i="1"/>
  <c r="AD202" i="2" s="1"/>
  <c r="K88" i="1"/>
  <c r="E134" i="1"/>
  <c r="D89" i="1"/>
  <c r="AD203" i="2" s="1"/>
  <c r="K89" i="1"/>
  <c r="E135" i="1"/>
  <c r="L135" i="1" s="1"/>
  <c r="AB221" i="2" s="1"/>
  <c r="E136" i="1"/>
  <c r="L136" i="1" s="1"/>
  <c r="AB222" i="2" s="1"/>
  <c r="D90" i="1"/>
  <c r="E137" i="1"/>
  <c r="L137" i="1" s="1"/>
  <c r="AB223" i="2" s="1"/>
  <c r="D91" i="1"/>
  <c r="AE204" i="2" s="1"/>
  <c r="K91" i="1"/>
  <c r="D92" i="1"/>
  <c r="AE205" i="2" s="1"/>
  <c r="K92" i="1"/>
  <c r="D93" i="1"/>
  <c r="AE206" i="2" s="1"/>
  <c r="K93" i="1"/>
  <c r="D94" i="1"/>
  <c r="AE207" i="2" s="1"/>
  <c r="K94" i="1"/>
  <c r="D95" i="1"/>
  <c r="AG207" i="2" s="1"/>
  <c r="AL20" i="2" s="1"/>
  <c r="D96" i="1"/>
  <c r="AD208" i="2" s="1"/>
  <c r="K96" i="1"/>
  <c r="D97" i="1"/>
  <c r="AD209" i="2" s="1"/>
  <c r="K97" i="1"/>
  <c r="D98" i="1"/>
  <c r="AD210" i="2" s="1"/>
  <c r="K98" i="1"/>
  <c r="D99" i="1"/>
  <c r="AD211" i="2" s="1"/>
  <c r="K99" i="1"/>
  <c r="D100" i="1"/>
  <c r="AF211" i="2" s="1"/>
  <c r="AK21" i="2" s="1"/>
  <c r="K101" i="1"/>
  <c r="K102" i="1"/>
  <c r="K103" i="1"/>
  <c r="K104" i="1"/>
  <c r="AJ40" i="2" l="1"/>
  <c r="AJ30" i="2"/>
  <c r="AJ35" i="2"/>
  <c r="AJ33" i="2"/>
  <c r="AJ27" i="2"/>
  <c r="AI40" i="2"/>
  <c r="AJ39" i="2"/>
  <c r="AI39" i="2"/>
  <c r="AJ38" i="2"/>
  <c r="AI35" i="2"/>
  <c r="AI34" i="2"/>
  <c r="AJ31" i="2"/>
  <c r="AI28" i="2"/>
  <c r="AI27" i="2"/>
  <c r="AI38" i="2"/>
  <c r="AJ34" i="2"/>
  <c r="AI31" i="2"/>
  <c r="AI30" i="2"/>
  <c r="AJ28" i="2"/>
  <c r="L130" i="1"/>
  <c r="AA216" i="2" s="1"/>
  <c r="AK41" i="2" s="1"/>
  <c r="L134" i="1"/>
  <c r="AB220" i="2" s="1"/>
  <c r="AL41" i="2" s="1"/>
  <c r="L126" i="1"/>
  <c r="AB130" i="2" s="1"/>
  <c r="AL35" i="2" s="1"/>
  <c r="L122" i="1"/>
  <c r="AA126" i="2" s="1"/>
  <c r="AK35" i="2" s="1"/>
  <c r="AG70" i="2"/>
  <c r="AL12" i="2" s="1"/>
  <c r="AF66" i="2"/>
  <c r="AK12" i="2" s="1"/>
  <c r="L114" i="1"/>
  <c r="AA71" i="2" s="1"/>
  <c r="AK31" i="2" s="1"/>
  <c r="L118" i="1"/>
  <c r="AB75" i="2" s="1"/>
  <c r="L110" i="1"/>
  <c r="AB28" i="2" s="1"/>
  <c r="AL28" i="2" s="1"/>
  <c r="AG23" i="2"/>
  <c r="AL9" i="2" s="1"/>
  <c r="AF19" i="2"/>
  <c r="AK9" i="2" s="1"/>
  <c r="L106" i="1"/>
  <c r="AA24" i="2" s="1"/>
  <c r="AK28" i="2" s="1"/>
  <c r="AJ19" i="2"/>
  <c r="AJ12" i="2"/>
  <c r="AJ15" i="2"/>
  <c r="AI15" i="2"/>
  <c r="AI14" i="2"/>
  <c r="Z188" i="2"/>
  <c r="AJ37" i="2" s="1"/>
  <c r="AD18" i="2"/>
  <c r="AI9" i="2" s="1"/>
  <c r="Y187" i="2"/>
  <c r="AI37" i="2" s="1"/>
  <c r="AB76" i="2"/>
  <c r="AI11" i="2"/>
  <c r="AJ9" i="2"/>
  <c r="AD8" i="2"/>
  <c r="AI8" i="2" s="1"/>
  <c r="AI21" i="2"/>
  <c r="AK20" i="2"/>
  <c r="AD200" i="2"/>
  <c r="AI20" i="2" s="1"/>
  <c r="AJ18" i="2"/>
  <c r="AD186" i="2"/>
  <c r="AI18" i="2" s="1"/>
  <c r="AJ14" i="2"/>
  <c r="AI12" i="2"/>
  <c r="AJ11" i="2"/>
  <c r="AJ20" i="2"/>
  <c r="AI19" i="2"/>
  <c r="Y103" i="2"/>
  <c r="AI33" i="2" s="1"/>
  <c r="AJ8" i="2"/>
  <c r="AK19" i="2"/>
  <c r="AL31" i="2" l="1"/>
</calcChain>
</file>

<file path=xl/sharedStrings.xml><?xml version="1.0" encoding="utf-8"?>
<sst xmlns="http://schemas.openxmlformats.org/spreadsheetml/2006/main" count="531" uniqueCount="171">
  <si>
    <t>2nd cutting alfalfa 1999</t>
  </si>
  <si>
    <t>3rd cutting alfalfa 1999</t>
  </si>
  <si>
    <t>4th cutting alfalfa 1999</t>
  </si>
  <si>
    <t>DOY</t>
  </si>
  <si>
    <t>First cutting alfalfa 1999</t>
  </si>
  <si>
    <t>LAI</t>
  </si>
  <si>
    <t>NE</t>
  </si>
  <si>
    <t>NE Lys.</t>
  </si>
  <si>
    <t>NE-1</t>
  </si>
  <si>
    <t>NE-2</t>
  </si>
  <si>
    <t>NE-3</t>
  </si>
  <si>
    <t>NE-4</t>
  </si>
  <si>
    <t>SE</t>
  </si>
  <si>
    <t>SE Lys.</t>
  </si>
  <si>
    <t>SE-1</t>
  </si>
  <si>
    <t>SE-2</t>
  </si>
  <si>
    <t>SE-3</t>
  </si>
  <si>
    <t>SE-4</t>
  </si>
  <si>
    <t>Plant height (cm)</t>
  </si>
  <si>
    <t>Lodging</t>
  </si>
  <si>
    <t>Mean height (cm)</t>
  </si>
  <si>
    <t>SE Lys</t>
  </si>
  <si>
    <t>NE Lys</t>
  </si>
  <si>
    <t>lodging</t>
  </si>
  <si>
    <t>cut</t>
  </si>
  <si>
    <t>Equation value</t>
  </si>
  <si>
    <t>Good</t>
  </si>
  <si>
    <t>days</t>
  </si>
  <si>
    <t>Equation value of plant height (cm)</t>
  </si>
  <si>
    <t>height (cm)</t>
  </si>
  <si>
    <t>SHEET NAME</t>
  </si>
  <si>
    <t>CONTENTS</t>
  </si>
  <si>
    <t>Explanation of sheet names and contents, authors of the data, key references to methods, symbols, conventions and methods</t>
  </si>
  <si>
    <t>Alfalfa plant height, fresh mass from a 1 square meter sample plot, subsample leaf area in square cm, subsample dry stem mass, subsample dry leaf mass, leaf area index and growth stage</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</si>
  <si>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</si>
  <si>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</si>
  <si>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</si>
  <si>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</si>
  <si>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</si>
  <si>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</si>
  <si>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</si>
  <si>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</si>
  <si>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</si>
  <si>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</si>
  <si>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</si>
  <si>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</si>
  <si>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</si>
  <si>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</si>
  <si>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</si>
  <si>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</si>
  <si>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</si>
  <si>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Evett, S.R., T.A. Howell, R.W. Todd, A.D. Schneider, and J.A. Tolk. 2000. Alfalfa reference ET measurement and prediction. Pp. 266-272 In Robert G. Evans, Brian L. Benham, and Todd P. Trooien (ed) Proceedings of the 4th Decennial National Irrigation Symposium, Nov. 14-16, Phoenix, AZ.</t>
  </si>
  <si>
    <t>Evett, S.R., R.J. Lascano, T.A. Howell, J.A. Tolk, S.A. O'Shaughnessy, P.D. Colaizzi. 2012. Single- and dual-surface iterative energy balance solutions for reference ET. Trans. ASABE 55(2):533-541. https://doi.org/10.13031/2013.41388</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</si>
  <si>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</si>
  <si>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Tolk, J.A., T.A. Howell, and S.R. Evett. 2006a. Nighttime evapotranspiration from alfalfa and cotton in a semiarid climate. Agron. J. 98:730–736. http://doi.org/10.2134/agronj2005.0276</t>
  </si>
  <si>
    <t>Tolk, J.A., S.R. Evett, and T.A. Howell. 2006. Advection influences on evapotranspiration of alfalfa in a semiarid climate. Agron. J. 98:1646-1654. http://doi.org/10.2134/agronj2006.0031</t>
  </si>
  <si>
    <t>CONVENTION/METHOD</t>
  </si>
  <si>
    <t>EXPLANATION</t>
  </si>
  <si>
    <t>Plot</t>
  </si>
  <si>
    <t>Four plots, each one square meter in size, were randomly chosen in each alfalfa field and numbered 1 through 4. There were two fields, a northeast (NE) field and a southeast (SE) field. Plant height was measured in each plot.</t>
  </si>
  <si>
    <t>Plot sample harvest</t>
  </si>
  <si>
    <t>All vegetation was harvested from each plot and sealed in a plastic bag then stored in a refrigerator for later analysis.</t>
  </si>
  <si>
    <t>Plot sample fresh mass</t>
  </si>
  <si>
    <t>The fresh mass of the total plot sample was measured.</t>
  </si>
  <si>
    <t>Subsampling</t>
  </si>
  <si>
    <t>A subsample of the total plot sample was taken, its mass was measured, and its leaf area was measured. Subsample leaves and stems were dried and their masses measured.</t>
  </si>
  <si>
    <t>Plot dry mass</t>
  </si>
  <si>
    <t>The plot sample remaining after subsampling was dried and its mass measured.</t>
  </si>
  <si>
    <t>Leaf area index</t>
  </si>
  <si>
    <t>Plot vegetation was subsampled for leaf area (LA, cm^2), and leaf area index (LAI) was calculated as LAI = (subsample leaf area)(subsample fresh mass)/[(whole sample fresh mass)(10000)]</t>
  </si>
  <si>
    <t>Lysimeter harvest data</t>
  </si>
  <si>
    <t>At field harvest time, all vegetation from each lysimeter surface was harvested and sealed in four or five plastic bags then placed in a refrigerator for later analysis.</t>
  </si>
  <si>
    <t>Lysimeter leaf area index</t>
  </si>
  <si>
    <t>Lysimeter vegetation was subsampled for leaf area (LA, cm^2), and leaf area index (LAI) was calculated as LAI = (subsample leaf area)(subsample fresh mass)/[(whole sample fresh mass)(90000)]</t>
  </si>
  <si>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</si>
  <si>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</si>
  <si>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</si>
  <si>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</si>
  <si>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</si>
  <si>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</si>
  <si>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</si>
  <si>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</si>
  <si>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</si>
  <si>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</si>
  <si>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</si>
  <si>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</si>
  <si>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</si>
  <si>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Day of year</t>
  </si>
  <si>
    <t>Serial day of the year beginning with 1 for January 1.</t>
  </si>
  <si>
    <t>integer</t>
  </si>
  <si>
    <t>1 to 366</t>
  </si>
  <si>
    <t>alphanumeric</t>
  </si>
  <si>
    <t>variable</t>
  </si>
  <si>
    <t>decimal</t>
  </si>
  <si>
    <t>Mass of the total harvested sample before drying.</t>
  </si>
  <si>
    <t>Mass in g of a subsample</t>
  </si>
  <si>
    <t>Fraction of total field area that was irrigated by one sprinkler span</t>
  </si>
  <si>
    <t>0 to 1</t>
  </si>
  <si>
    <r>
      <t>Mass of stems in subsample after drying for 24 hours at 60</t>
    </r>
    <r>
      <rPr>
        <sz val="10"/>
        <rFont val="Calibri"/>
        <family val="2"/>
      </rPr>
      <t>°</t>
    </r>
    <r>
      <rPr>
        <sz val="10"/>
        <rFont val="Arial"/>
        <family val="2"/>
      </rPr>
      <t>C</t>
    </r>
  </si>
  <si>
    <r>
      <t>Mass of leaves in subsample after drying for 24 hours at 60</t>
    </r>
    <r>
      <rPr>
        <sz val="10"/>
        <rFont val="Calibri"/>
        <family val="2"/>
      </rPr>
      <t>°</t>
    </r>
    <r>
      <rPr>
        <sz val="10"/>
        <rFont val="Arial"/>
        <family val="2"/>
      </rPr>
      <t>C</t>
    </r>
  </si>
  <si>
    <r>
      <t>Mass of sample remaining after subsampling after drying for 24 hours at 60</t>
    </r>
    <r>
      <rPr>
        <sz val="10"/>
        <rFont val="Calibri"/>
        <family val="2"/>
      </rPr>
      <t>°</t>
    </r>
    <r>
      <rPr>
        <sz val="10"/>
        <rFont val="Arial"/>
        <family val="2"/>
      </rPr>
      <t>C</t>
    </r>
  </si>
  <si>
    <t>yes, #N/A</t>
  </si>
  <si>
    <t>Mass of all matter, dried leaves and stems and dried sample after subsampling.</t>
  </si>
  <si>
    <t>Growth stage</t>
  </si>
  <si>
    <t>growth stage</t>
  </si>
  <si>
    <t>1 to 5</t>
  </si>
  <si>
    <t>SE mean</t>
  </si>
  <si>
    <t>NE mean</t>
  </si>
  <si>
    <t>SE lysimeter</t>
  </si>
  <si>
    <t>NE lysimeter</t>
  </si>
  <si>
    <t>SE Lysimeter</t>
  </si>
  <si>
    <t>NE Lysimeter</t>
  </si>
  <si>
    <t>SE-LYS-1</t>
  </si>
  <si>
    <t>SE-LYS-2</t>
  </si>
  <si>
    <t>SE-LYS-3</t>
  </si>
  <si>
    <t>SE-LYS-4</t>
  </si>
  <si>
    <t>NE-LYS-1</t>
  </si>
  <si>
    <t>NE-LYS-2</t>
  </si>
  <si>
    <t>NE-LYS-3</t>
  </si>
  <si>
    <t>NE-LYS-4</t>
  </si>
  <si>
    <t>Length of stems in harvested sample. These data were taken when plant height data were compromised by lodging on August 12, 1999 and October 4, 1999 . However stem length is not equal to plant height.</t>
  </si>
  <si>
    <t>Terry A. Howell, Sr., Laboratory Director (retired), tah1@att.net</t>
  </si>
  <si>
    <t>Plot designation consisting of field ID (NE for northeast or SE for southeast), a hyphen, and a number that indicates one of four sample plots in a field. If values are mean values for a field then the plot designation is the field ID followed by a hypthen and the word "mean". If samples are from a lysimeter, the plot name will contain "LYS" or "lysimeter"</t>
  </si>
  <si>
    <t>Dry yield</t>
  </si>
  <si>
    <t>Per hectare dry yields assume an area of 8.903 ha (22 acres) and oven dry (60°C) mass.</t>
  </si>
  <si>
    <t>Cutting</t>
  </si>
  <si>
    <t>At each harvest alfalfa was cut and field cured then baled. There were between four and five harvests (cuttings) each year.</t>
  </si>
  <si>
    <t>Span</t>
  </si>
  <si>
    <t>The alfalfa was irrigated using a linear move sprinkler consisting of ten spans carried on wheeled A-frame towers that moved across the field in the east-west and west-east directions. The spans were numbered from 1 at the north end through 10 at the south end. An overhanging pipe south of the southernmost tower supplied water to sprinklers irrigating that area, which was called the 11th span.</t>
  </si>
  <si>
    <t>day of year. January 1 is DOY 1, February 1 is DOY 32, etc.</t>
  </si>
  <si>
    <t>Cured yield</t>
  </si>
  <si>
    <t>Alfalfa is cured (dried) in the field after cutting and before baling. The moisture content of the field-cured alfalfa is reported and used to calculate the dry yield</t>
  </si>
  <si>
    <t>Moisture</t>
  </si>
  <si>
    <r>
      <t>The water content of the field-cured alfalfa was determine by removing cores from bales, weighing them and weighing them again after drying in an oven for 24 hours at 60</t>
    </r>
    <r>
      <rPr>
        <sz val="10"/>
        <rFont val="Calibri"/>
        <family val="2"/>
      </rPr>
      <t>°</t>
    </r>
    <r>
      <rPr>
        <sz val="10"/>
        <rFont val="Arial"/>
        <family val="2"/>
      </rPr>
      <t xml:space="preserve">C. The difference in mass divided by the oven-dry mass is the moisture content as a fraction of oven-dry mass </t>
    </r>
  </si>
  <si>
    <t>Span fraction of total area</t>
  </si>
  <si>
    <t>This represents the fraction of the total field area of 8.903 ha (22 acres) that was irrigated under one sprinkler span and from which harvest data were gathered.</t>
  </si>
  <si>
    <t>1999 alfalfa Introduction</t>
  </si>
  <si>
    <t>1999 alfalfa growth</t>
  </si>
  <si>
    <t>Data dictionary for sheet or CSV file named "1999 alfalfa growth"</t>
  </si>
  <si>
    <t>Dic. 1999 alfalfa growth</t>
  </si>
  <si>
    <t>1999 alfalfa stem length</t>
  </si>
  <si>
    <t>Dic. 1999 alfalfa stem length</t>
  </si>
  <si>
    <t>Data dictionary for sheet or CSV file named "1999 alfalfa stem length"</t>
  </si>
  <si>
    <t>Mean LAI</t>
  </si>
  <si>
    <t>Stem length in cm</t>
  </si>
  <si>
    <t>Year</t>
  </si>
  <si>
    <t>yyyy</t>
  </si>
  <si>
    <t>1 to 11</t>
  </si>
  <si>
    <t>Yield in kg of field-cured and baled alfalfa hay under a sprinkler span</t>
  </si>
  <si>
    <t>Water content in g/g of field-cured alfalfa hay</t>
  </si>
  <si>
    <r>
      <t>Yield in kg of oven-dry alfalfa hay under a sprinkler span after drying at 60</t>
    </r>
    <r>
      <rPr>
        <sz val="10"/>
        <rFont val="Calibri"/>
        <family val="2"/>
      </rPr>
      <t>°</t>
    </r>
    <r>
      <rPr>
        <sz val="10"/>
        <rFont val="Arial"/>
        <family val="2"/>
      </rPr>
      <t>C for 24 hours</t>
    </r>
  </si>
  <si>
    <r>
      <t>Yield in kg/ha of oven-dry alfalfa hay under a sprinkler span after drying at 24 hours at 60</t>
    </r>
    <r>
      <rPr>
        <sz val="10"/>
        <rFont val="Calibri"/>
        <family val="2"/>
      </rPr>
      <t>°</t>
    </r>
    <r>
      <rPr>
        <sz val="10"/>
        <rFont val="Arial"/>
        <family val="2"/>
      </rPr>
      <t>C</t>
    </r>
  </si>
  <si>
    <t>1999 alfalfa yield</t>
  </si>
  <si>
    <t>Dry yield in kg/ha</t>
  </si>
  <si>
    <t>Dry yield in kg</t>
  </si>
  <si>
    <t>Field cured yield in kg</t>
  </si>
  <si>
    <t>Water content in g/g</t>
  </si>
  <si>
    <t>Dic. 1999 alfalfa yield</t>
  </si>
  <si>
    <t>Alfalfa yield for each cutting and harvest area. Values are for field cured hay, water content of hay, oven-dry yield, fraction of total area harvested, and oven-dry yield in kg/ha</t>
  </si>
  <si>
    <t>Data dictionary for sheet or CSV file named "1999 alfalfa yield"</t>
  </si>
  <si>
    <t>Plant height in centimeters. On DOY 224 lodging had occurred, which caused plant height values to decrease for this harvest date. See separate data that report stem length measurements taken on destructive samples</t>
  </si>
  <si>
    <t>Total plot dry matter in g</t>
  </si>
  <si>
    <t>Remaining plot dry mass in g</t>
  </si>
  <si>
    <t>Subsample dry leaf mass in g</t>
  </si>
  <si>
    <t>Subsample dry stem mass in g</t>
  </si>
  <si>
    <t>Subsample leaf area in cm</t>
  </si>
  <si>
    <t>Subsample fresh mass in g</t>
  </si>
  <si>
    <t>Total sample fresh mass in g</t>
  </si>
  <si>
    <t>Plant height in cm</t>
  </si>
  <si>
    <t>Linear move sprinkler span number. There were 10 spans numbered from north to south. The number 11 designates the overhang of sprinklers south of span 10.</t>
  </si>
  <si>
    <t>Length of stems in cm measured on harvested 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</si>
</sst>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0.0"/>
    <numFmt numFmtId="165" formatCode="yyyy\-mm\-dd;@"/>
  </numFmts>
  <fonts count="15" x14ac:knownFonts="1">
    <font>
      <sz val="10"/>
      <name val="Arial"/>
    </font>
    <font>
      <b/>
      <sz val="18"/>
      <name val="Arial"/>
      <family val="2"/>
    </font>
    <font>
      <b/>
      <sz val="12"/>
      <name val="Arial"/>
      <family val="2"/>
    </font>
    <font>
      <sz val="12"/>
      <name val="Times New Roman"/>
      <family val="1"/>
    </font>
    <font>
      <sz val="8"/>
      <name val="Arial"/>
      <family val="2"/>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b/>
      <sz val="11"/>
      <color rgb="FF000000"/>
      <name val="Arial"/>
      <family val="2"/>
    </font>
    <font>
      <sz val="12"/>
      <name val="Arial"/>
      <family val="2"/>
    </font>
    <font>
      <sz val="12"/>
      <name val="Times New Roman"/>
      <family val="1"/>
    </font>
    <font>
      <sz val="10"/>
      <name val="Calibri"/>
      <family val="2"/>
    </font>
    <font>
      <sz val="10"/>
      <color theme="1"/>
      <name val="Arial"/>
      <family val="2"/>
    </font>
  </fonts>
  <fills count="4">
    <fill>
      <patternFill patternType="none"/>
    </fill>
    <fill>
      <patternFill patternType="gray125"/>
    </fill>
    <fill>
      <patternFill patternType="solid">
        <fgColor indexed="9"/>
        <bgColor indexed="9"/>
      </patternFill>
    </fill>
    <fill>
      <patternFill patternType="solid">
        <fgColor rgb="FFEFEFEF"/>
        <bgColor rgb="FFEFEFEF"/>
      </patternFill>
    </fill>
  </fills>
  <borders count="6">
    <border>
      <left/>
      <right/>
      <top/>
      <bottom/>
      <diagonal/>
    </border>
    <border>
      <left/>
      <right/>
      <top style="double">
        <color indexed="64"/>
      </top>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9"/>
      </bottom>
      <diagonal/>
    </border>
  </borders>
  <cellStyleXfs count="14">
    <xf numFmtId="0" fontId="0" fillId="0" borderId="0"/>
    <xf numFmtId="3" fontId="5" fillId="0" borderId="0"/>
    <xf numFmtId="5" fontId="5" fillId="0" borderId="0"/>
    <xf numFmtId="14" fontId="5" fillId="0" borderId="0"/>
    <xf numFmtId="2" fontId="5" fillId="0" borderId="0"/>
    <xf numFmtId="0" fontId="1" fillId="0" borderId="0"/>
    <xf numFmtId="0" fontId="2" fillId="0" borderId="0"/>
    <xf numFmtId="0" fontId="1" fillId="0" borderId="0"/>
    <xf numFmtId="0" fontId="2" fillId="0" borderId="0"/>
    <xf numFmtId="0" fontId="5" fillId="0" borderId="1"/>
    <xf numFmtId="0" fontId="5" fillId="0" borderId="0"/>
    <xf numFmtId="0" fontId="5" fillId="0" borderId="0"/>
    <xf numFmtId="0" fontId="11" fillId="0" borderId="0"/>
    <xf numFmtId="0" fontId="12" fillId="0" borderId="0"/>
  </cellStyleXfs>
  <cellXfs count="53">
    <xf numFmtId="0" fontId="0" fillId="0" borderId="0" xfId="0"/>
    <xf numFmtId="164" fontId="3" fillId="2" borderId="2" xfId="0" applyNumberFormat="1" applyFont="1" applyFill="1" applyBorder="1"/>
    <xf numFmtId="164" fontId="0" fillId="2" borderId="0" xfId="0" applyNumberFormat="1" applyFill="1"/>
    <xf numFmtId="164" fontId="0" fillId="0" borderId="0" xfId="0" applyNumberFormat="1"/>
    <xf numFmtId="0" fontId="0" fillId="2" borderId="0" xfId="0" applyFill="1"/>
    <xf numFmtId="0" fontId="0" fillId="2" borderId="2" xfId="0" applyFill="1" applyBorder="1"/>
    <xf numFmtId="164" fontId="0" fillId="2" borderId="2" xfId="0" applyNumberFormat="1" applyFill="1" applyBorder="1"/>
    <xf numFmtId="2" fontId="0" fillId="2" borderId="2" xfId="0" applyNumberFormat="1" applyFill="1" applyBorder="1"/>
    <xf numFmtId="1" fontId="0" fillId="2" borderId="2" xfId="0" applyNumberFormat="1" applyFill="1" applyBorder="1"/>
    <xf numFmtId="1" fontId="0" fillId="0" borderId="0" xfId="0" applyNumberFormat="1"/>
    <xf numFmtId="2" fontId="0" fillId="0" borderId="0" xfId="0" applyNumberFormat="1"/>
    <xf numFmtId="0" fontId="0" fillId="0" borderId="3" xfId="0" applyBorder="1"/>
    <xf numFmtId="0" fontId="0" fillId="0" borderId="0" xfId="0" applyAlignment="1">
      <alignment horizontal="right"/>
    </xf>
    <xf numFmtId="2" fontId="0" fillId="2" borderId="0" xfId="0" applyNumberFormat="1" applyFill="1"/>
    <xf numFmtId="0" fontId="5" fillId="0" borderId="0" xfId="10" applyAlignment="1">
      <alignment vertical="top"/>
    </xf>
    <xf numFmtId="0" fontId="5" fillId="0" borderId="0" xfId="10"/>
    <xf numFmtId="0" fontId="6" fillId="0" borderId="0" xfId="10" applyFont="1" applyAlignment="1">
      <alignment horizontal="left" vertical="center" readingOrder="1"/>
    </xf>
    <xf numFmtId="0" fontId="7" fillId="0" borderId="0" xfId="10" applyFont="1" applyAlignment="1">
      <alignment horizontal="left" vertical="center" readingOrder="1"/>
    </xf>
    <xf numFmtId="0" fontId="8" fillId="0" borderId="0" xfId="10" applyFont="1" applyAlignment="1">
      <alignment vertical="center" readingOrder="1"/>
    </xf>
    <xf numFmtId="0" fontId="5" fillId="0" borderId="0" xfId="11"/>
    <xf numFmtId="14" fontId="5" fillId="0" borderId="0" xfId="11" applyNumberFormat="1" applyAlignment="1">
      <alignment horizontal="left"/>
    </xf>
    <xf numFmtId="0" fontId="5" fillId="0" borderId="0" xfId="11" applyAlignment="1">
      <alignment horizontal="left"/>
    </xf>
    <xf numFmtId="0" fontId="10" fillId="3" borderId="4" xfId="10" applyFont="1" applyFill="1" applyBorder="1" applyAlignment="1">
      <alignment vertical="top" wrapText="1"/>
    </xf>
    <xf numFmtId="0" fontId="11" fillId="0" borderId="0" xfId="12"/>
    <xf numFmtId="14" fontId="5" fillId="0" borderId="0" xfId="10" applyNumberFormat="1" applyAlignment="1">
      <alignment horizontal="left" vertical="top"/>
    </xf>
    <xf numFmtId="0" fontId="5" fillId="0" borderId="0" xfId="10" applyAlignment="1">
      <alignment wrapText="1"/>
    </xf>
    <xf numFmtId="0" fontId="7" fillId="0" borderId="0" xfId="10" applyFont="1" applyAlignment="1">
      <alignment vertical="center" wrapText="1"/>
    </xf>
    <xf numFmtId="0" fontId="5" fillId="0" borderId="0" xfId="10" applyAlignment="1">
      <alignment vertical="top" wrapText="1"/>
    </xf>
    <xf numFmtId="0" fontId="11" fillId="0" borderId="0" xfId="12" applyAlignment="1">
      <alignment vertical="top"/>
    </xf>
    <xf numFmtId="0" fontId="0" fillId="0" borderId="0" xfId="0" applyAlignment="1">
      <alignment wrapText="1"/>
    </xf>
    <xf numFmtId="0" fontId="0" fillId="0" borderId="0" xfId="0" applyAlignment="1">
      <alignment horizontal="left" wrapText="1"/>
    </xf>
    <xf numFmtId="0" fontId="3" fillId="2" borderId="0" xfId="0" applyFont="1" applyFill="1" applyAlignment="1">
      <alignment horizontal="left" wrapText="1"/>
    </xf>
    <xf numFmtId="0" fontId="3" fillId="2" borderId="2" xfId="0" applyFont="1" applyFill="1" applyBorder="1" applyAlignment="1">
      <alignment horizontal="left" wrapText="1"/>
    </xf>
    <xf numFmtId="0" fontId="0" fillId="2" borderId="0" xfId="0" applyFill="1" applyBorder="1"/>
    <xf numFmtId="165" fontId="0" fillId="0" borderId="0" xfId="0" applyNumberFormat="1"/>
    <xf numFmtId="165" fontId="0" fillId="0" borderId="0" xfId="0" applyNumberFormat="1" applyAlignment="1">
      <alignment horizontal="left" wrapText="1"/>
    </xf>
    <xf numFmtId="0" fontId="5" fillId="0" borderId="0" xfId="0" applyFont="1"/>
    <xf numFmtId="0" fontId="11" fillId="0" borderId="0" xfId="10" applyFont="1" applyAlignment="1">
      <alignment vertical="top"/>
    </xf>
    <xf numFmtId="0" fontId="11" fillId="0" borderId="0" xfId="10" applyFont="1"/>
    <xf numFmtId="165" fontId="0" fillId="0" borderId="0" xfId="0" applyNumberFormat="1" applyAlignment="1">
      <alignment wrapText="1"/>
    </xf>
    <xf numFmtId="0" fontId="3" fillId="2" borderId="3" xfId="0" applyFont="1" applyFill="1" applyBorder="1" applyAlignment="1">
      <alignment wrapText="1"/>
    </xf>
    <xf numFmtId="0" fontId="14" fillId="0" borderId="0" xfId="10" applyFont="1"/>
    <xf numFmtId="164" fontId="3" fillId="2" borderId="3" xfId="0" applyNumberFormat="1" applyFont="1" applyFill="1" applyBorder="1" applyAlignment="1">
      <alignment wrapText="1"/>
    </xf>
    <xf numFmtId="0" fontId="5" fillId="0" borderId="5" xfId="0" applyFont="1" applyBorder="1"/>
    <xf numFmtId="0" fontId="0" fillId="0" borderId="0" xfId="0" applyAlignment="1">
      <alignment vertical="top"/>
    </xf>
    <xf numFmtId="0" fontId="7" fillId="0" borderId="0" xfId="10" applyFont="1" applyAlignment="1">
      <alignment vertical="top" wrapText="1"/>
    </xf>
    <xf numFmtId="0" fontId="11" fillId="0" borderId="0" xfId="0" applyFont="1"/>
    <xf numFmtId="1" fontId="5" fillId="0" borderId="0" xfId="0" applyNumberFormat="1" applyFont="1" applyAlignment="1">
      <alignment wrapText="1"/>
    </xf>
    <xf numFmtId="0" fontId="5" fillId="0" borderId="0" xfId="0" applyFont="1" applyAlignment="1">
      <alignment wrapText="1"/>
    </xf>
    <xf numFmtId="165" fontId="5" fillId="0" borderId="0" xfId="0" applyNumberFormat="1" applyFont="1" applyAlignment="1">
      <alignment horizontal="left" wrapText="1"/>
    </xf>
    <xf numFmtId="0" fontId="5" fillId="0" borderId="0" xfId="0" applyFont="1" applyAlignment="1">
      <alignment horizontal="left" wrapText="1"/>
    </xf>
    <xf numFmtId="0" fontId="5" fillId="2" borderId="0" xfId="0" applyFont="1" applyFill="1" applyAlignment="1">
      <alignment horizontal="left" wrapText="1"/>
    </xf>
    <xf numFmtId="0" fontId="5" fillId="2" borderId="0" xfId="0" applyFont="1" applyFill="1" applyBorder="1" applyAlignment="1">
      <alignment horizontal="left" wrapText="1"/>
    </xf>
  </cellXfs>
  <cellStyles count="14">
    <cellStyle name="Comma0" xfId="1" xr:uid="{00000000-0005-0000-0000-000000000000}"/>
    <cellStyle name="Currency0" xfId="2" xr:uid="{00000000-0005-0000-0000-000001000000}"/>
    <cellStyle name="Date" xfId="3" xr:uid="{00000000-0005-0000-0000-000002000000}"/>
    <cellStyle name="Fixed" xfId="4" xr:uid="{00000000-0005-0000-0000-000003000000}"/>
    <cellStyle name="Heading 1" xfId="5" builtinId="16" customBuiltin="1"/>
    <cellStyle name="Heading 2" xfId="6" builtinId="17" customBuiltin="1"/>
    <cellStyle name="HEADING1" xfId="7" xr:uid="{00000000-0005-0000-0000-000006000000}"/>
    <cellStyle name="HEADING2" xfId="8" xr:uid="{00000000-0005-0000-0000-000007000000}"/>
    <cellStyle name="Normal" xfId="0" builtinId="0"/>
    <cellStyle name="Normal 2" xfId="10" xr:uid="{6A40B287-3032-4D7B-A46D-8DD58BEC8D46}"/>
    <cellStyle name="Normal 3" xfId="11" xr:uid="{694AFDE0-2597-4FE1-8BC3-67B392A32FA3}"/>
    <cellStyle name="Normal 4" xfId="12" xr:uid="{0FB46C4F-BEFB-4115-AD88-D6E716F69E3E}"/>
    <cellStyle name="Normal 5" xfId="13" xr:uid="{C75A3B9B-FF9B-485D-A97F-3E912C4C1C02}"/>
    <cellStyle name="Total" xfId="9" builtinId="25" customBuiltin="1"/>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089168724095424"/>
          <c:y val="0.10937841619790123"/>
          <c:w val="0.73842087079424668"/>
          <c:h val="0.54428783298479422"/>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Graphs!$X$7:$X$31</c:f>
              <c:numCache>
                <c:formatCode>General</c:formatCode>
                <c:ptCount val="25"/>
                <c:pt idx="0">
                  <c:v>90</c:v>
                </c:pt>
                <c:pt idx="1">
                  <c:v>131</c:v>
                </c:pt>
                <c:pt idx="2">
                  <c:v>131</c:v>
                </c:pt>
                <c:pt idx="3">
                  <c:v>131</c:v>
                </c:pt>
                <c:pt idx="4">
                  <c:v>131</c:v>
                </c:pt>
                <c:pt idx="5">
                  <c:v>131</c:v>
                </c:pt>
                <c:pt idx="6">
                  <c:v>131</c:v>
                </c:pt>
                <c:pt idx="7">
                  <c:v>131</c:v>
                </c:pt>
                <c:pt idx="8">
                  <c:v>131</c:v>
                </c:pt>
                <c:pt idx="9">
                  <c:v>153</c:v>
                </c:pt>
                <c:pt idx="10">
                  <c:v>153</c:v>
                </c:pt>
                <c:pt idx="11">
                  <c:v>153</c:v>
                </c:pt>
                <c:pt idx="12">
                  <c:v>153</c:v>
                </c:pt>
                <c:pt idx="13">
                  <c:v>153</c:v>
                </c:pt>
                <c:pt idx="14">
                  <c:v>153</c:v>
                </c:pt>
                <c:pt idx="15">
                  <c:v>153</c:v>
                </c:pt>
                <c:pt idx="16">
                  <c:v>153</c:v>
                </c:pt>
                <c:pt idx="17">
                  <c:v>153</c:v>
                </c:pt>
                <c:pt idx="18">
                  <c:v>153</c:v>
                </c:pt>
                <c:pt idx="19">
                  <c:v>153</c:v>
                </c:pt>
                <c:pt idx="20">
                  <c:v>153</c:v>
                </c:pt>
                <c:pt idx="21">
                  <c:v>153</c:v>
                </c:pt>
                <c:pt idx="22">
                  <c:v>153</c:v>
                </c:pt>
                <c:pt idx="23">
                  <c:v>153</c:v>
                </c:pt>
                <c:pt idx="24">
                  <c:v>153</c:v>
                </c:pt>
              </c:numCache>
            </c:numRef>
          </c:xVal>
          <c:yVal>
            <c:numRef>
              <c:f>Graphs!$Y$7:$Y$31</c:f>
              <c:numCache>
                <c:formatCode>General</c:formatCode>
                <c:ptCount val="25"/>
                <c:pt idx="0">
                  <c:v>0</c:v>
                </c:pt>
                <c:pt idx="1">
                  <c:v>2.4149499334637965</c:v>
                </c:pt>
                <c:pt idx="2">
                  <c:v>1.1484815047021943</c:v>
                </c:pt>
                <c:pt idx="3">
                  <c:v>1.6763315784313726</c:v>
                </c:pt>
                <c:pt idx="4">
                  <c:v>2.75080455952381</c:v>
                </c:pt>
                <c:pt idx="9" formatCode="0.00">
                  <c:v>2.8661135535331903</c:v>
                </c:pt>
                <c:pt idx="10">
                  <c:v>2.6138054431630975</c:v>
                </c:pt>
                <c:pt idx="11">
                  <c:v>3.4819987032224535</c:v>
                </c:pt>
                <c:pt idx="12">
                  <c:v>3.2752499687331538</c:v>
                </c:pt>
              </c:numCache>
            </c:numRef>
          </c:yVal>
          <c:smooth val="0"/>
          <c:extLst>
            <c:ext xmlns:c16="http://schemas.microsoft.com/office/drawing/2014/chart" uri="{C3380CC4-5D6E-409C-BE32-E72D297353CC}">
              <c16:uniqueId val="{00000000-BB8C-42B5-9634-6EBE277F0E9B}"/>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xVal>
            <c:numRef>
              <c:f>Graphs!$X$7:$X$31</c:f>
              <c:numCache>
                <c:formatCode>General</c:formatCode>
                <c:ptCount val="25"/>
                <c:pt idx="0">
                  <c:v>90</c:v>
                </c:pt>
                <c:pt idx="1">
                  <c:v>131</c:v>
                </c:pt>
                <c:pt idx="2">
                  <c:v>131</c:v>
                </c:pt>
                <c:pt idx="3">
                  <c:v>131</c:v>
                </c:pt>
                <c:pt idx="4">
                  <c:v>131</c:v>
                </c:pt>
                <c:pt idx="5">
                  <c:v>131</c:v>
                </c:pt>
                <c:pt idx="6">
                  <c:v>131</c:v>
                </c:pt>
                <c:pt idx="7">
                  <c:v>131</c:v>
                </c:pt>
                <c:pt idx="8">
                  <c:v>131</c:v>
                </c:pt>
                <c:pt idx="9">
                  <c:v>153</c:v>
                </c:pt>
                <c:pt idx="10">
                  <c:v>153</c:v>
                </c:pt>
                <c:pt idx="11">
                  <c:v>153</c:v>
                </c:pt>
                <c:pt idx="12">
                  <c:v>153</c:v>
                </c:pt>
                <c:pt idx="13">
                  <c:v>153</c:v>
                </c:pt>
                <c:pt idx="14">
                  <c:v>153</c:v>
                </c:pt>
                <c:pt idx="15">
                  <c:v>153</c:v>
                </c:pt>
                <c:pt idx="16">
                  <c:v>153</c:v>
                </c:pt>
                <c:pt idx="17">
                  <c:v>153</c:v>
                </c:pt>
                <c:pt idx="18">
                  <c:v>153</c:v>
                </c:pt>
                <c:pt idx="19">
                  <c:v>153</c:v>
                </c:pt>
                <c:pt idx="20">
                  <c:v>153</c:v>
                </c:pt>
                <c:pt idx="21">
                  <c:v>153</c:v>
                </c:pt>
                <c:pt idx="22">
                  <c:v>153</c:v>
                </c:pt>
                <c:pt idx="23">
                  <c:v>153</c:v>
                </c:pt>
                <c:pt idx="24">
                  <c:v>153</c:v>
                </c:pt>
              </c:numCache>
            </c:numRef>
          </c:xVal>
          <c:yVal>
            <c:numRef>
              <c:f>Graphs!$Z$7:$Z$31</c:f>
              <c:numCache>
                <c:formatCode>General</c:formatCode>
                <c:ptCount val="25"/>
                <c:pt idx="0">
                  <c:v>0</c:v>
                </c:pt>
                <c:pt idx="5">
                  <c:v>1.4467560705190989</c:v>
                </c:pt>
                <c:pt idx="6">
                  <c:v>2.1824771080550098</c:v>
                </c:pt>
                <c:pt idx="7">
                  <c:v>1.8994840349854225</c:v>
                </c:pt>
                <c:pt idx="8">
                  <c:v>1.8284557240356087</c:v>
                </c:pt>
                <c:pt idx="13">
                  <c:v>2.8666349794344477</c:v>
                </c:pt>
                <c:pt idx="14">
                  <c:v>2.627229827906977</c:v>
                </c:pt>
                <c:pt idx="15">
                  <c:v>3.0373257428728069</c:v>
                </c:pt>
                <c:pt idx="16">
                  <c:v>3.1731106066196419</c:v>
                </c:pt>
              </c:numCache>
            </c:numRef>
          </c:yVal>
          <c:smooth val="0"/>
          <c:extLst>
            <c:ext xmlns:c16="http://schemas.microsoft.com/office/drawing/2014/chart" uri="{C3380CC4-5D6E-409C-BE32-E72D297353CC}">
              <c16:uniqueId val="{00000001-BB8C-42B5-9634-6EBE277F0E9B}"/>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Graphs!$X$7:$X$31</c:f>
              <c:numCache>
                <c:formatCode>General</c:formatCode>
                <c:ptCount val="25"/>
                <c:pt idx="0">
                  <c:v>90</c:v>
                </c:pt>
                <c:pt idx="1">
                  <c:v>131</c:v>
                </c:pt>
                <c:pt idx="2">
                  <c:v>131</c:v>
                </c:pt>
                <c:pt idx="3">
                  <c:v>131</c:v>
                </c:pt>
                <c:pt idx="4">
                  <c:v>131</c:v>
                </c:pt>
                <c:pt idx="5">
                  <c:v>131</c:v>
                </c:pt>
                <c:pt idx="6">
                  <c:v>131</c:v>
                </c:pt>
                <c:pt idx="7">
                  <c:v>131</c:v>
                </c:pt>
                <c:pt idx="8">
                  <c:v>131</c:v>
                </c:pt>
                <c:pt idx="9">
                  <c:v>153</c:v>
                </c:pt>
                <c:pt idx="10">
                  <c:v>153</c:v>
                </c:pt>
                <c:pt idx="11">
                  <c:v>153</c:v>
                </c:pt>
                <c:pt idx="12">
                  <c:v>153</c:v>
                </c:pt>
                <c:pt idx="13">
                  <c:v>153</c:v>
                </c:pt>
                <c:pt idx="14">
                  <c:v>153</c:v>
                </c:pt>
                <c:pt idx="15">
                  <c:v>153</c:v>
                </c:pt>
                <c:pt idx="16">
                  <c:v>153</c:v>
                </c:pt>
                <c:pt idx="17">
                  <c:v>153</c:v>
                </c:pt>
                <c:pt idx="18">
                  <c:v>153</c:v>
                </c:pt>
                <c:pt idx="19">
                  <c:v>153</c:v>
                </c:pt>
                <c:pt idx="20">
                  <c:v>153</c:v>
                </c:pt>
                <c:pt idx="21">
                  <c:v>153</c:v>
                </c:pt>
                <c:pt idx="22">
                  <c:v>153</c:v>
                </c:pt>
                <c:pt idx="23">
                  <c:v>153</c:v>
                </c:pt>
                <c:pt idx="24">
                  <c:v>153</c:v>
                </c:pt>
              </c:numCache>
            </c:numRef>
          </c:xVal>
          <c:yVal>
            <c:numRef>
              <c:f>Graphs!$AA$7:$AA$31</c:f>
              <c:numCache>
                <c:formatCode>General</c:formatCode>
                <c:ptCount val="25"/>
                <c:pt idx="0">
                  <c:v>0</c:v>
                </c:pt>
                <c:pt idx="17">
                  <c:v>2.1185190252838946</c:v>
                </c:pt>
                <c:pt idx="18">
                  <c:v>2.4961169232893909</c:v>
                </c:pt>
                <c:pt idx="19">
                  <c:v>2.3316246960691527</c:v>
                </c:pt>
                <c:pt idx="20">
                  <c:v>2.4014332700138961</c:v>
                </c:pt>
              </c:numCache>
            </c:numRef>
          </c:yVal>
          <c:smooth val="0"/>
          <c:extLst>
            <c:ext xmlns:c16="http://schemas.microsoft.com/office/drawing/2014/chart" uri="{C3380CC4-5D6E-409C-BE32-E72D297353CC}">
              <c16:uniqueId val="{00000002-BB8C-42B5-9634-6EBE277F0E9B}"/>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Graphs!$X$7:$X$31</c:f>
              <c:numCache>
                <c:formatCode>General</c:formatCode>
                <c:ptCount val="25"/>
                <c:pt idx="0">
                  <c:v>90</c:v>
                </c:pt>
                <c:pt idx="1">
                  <c:v>131</c:v>
                </c:pt>
                <c:pt idx="2">
                  <c:v>131</c:v>
                </c:pt>
                <c:pt idx="3">
                  <c:v>131</c:v>
                </c:pt>
                <c:pt idx="4">
                  <c:v>131</c:v>
                </c:pt>
                <c:pt idx="5">
                  <c:v>131</c:v>
                </c:pt>
                <c:pt idx="6">
                  <c:v>131</c:v>
                </c:pt>
                <c:pt idx="7">
                  <c:v>131</c:v>
                </c:pt>
                <c:pt idx="8">
                  <c:v>131</c:v>
                </c:pt>
                <c:pt idx="9">
                  <c:v>153</c:v>
                </c:pt>
                <c:pt idx="10">
                  <c:v>153</c:v>
                </c:pt>
                <c:pt idx="11">
                  <c:v>153</c:v>
                </c:pt>
                <c:pt idx="12">
                  <c:v>153</c:v>
                </c:pt>
                <c:pt idx="13">
                  <c:v>153</c:v>
                </c:pt>
                <c:pt idx="14">
                  <c:v>153</c:v>
                </c:pt>
                <c:pt idx="15">
                  <c:v>153</c:v>
                </c:pt>
                <c:pt idx="16">
                  <c:v>153</c:v>
                </c:pt>
                <c:pt idx="17">
                  <c:v>153</c:v>
                </c:pt>
                <c:pt idx="18">
                  <c:v>153</c:v>
                </c:pt>
                <c:pt idx="19">
                  <c:v>153</c:v>
                </c:pt>
                <c:pt idx="20">
                  <c:v>153</c:v>
                </c:pt>
                <c:pt idx="21">
                  <c:v>153</c:v>
                </c:pt>
                <c:pt idx="22">
                  <c:v>153</c:v>
                </c:pt>
                <c:pt idx="23">
                  <c:v>153</c:v>
                </c:pt>
                <c:pt idx="24">
                  <c:v>153</c:v>
                </c:pt>
              </c:numCache>
            </c:numRef>
          </c:xVal>
          <c:yVal>
            <c:numRef>
              <c:f>Graphs!$AB$7:$AB$31</c:f>
              <c:numCache>
                <c:formatCode>General</c:formatCode>
                <c:ptCount val="25"/>
                <c:pt idx="0">
                  <c:v>0</c:v>
                </c:pt>
                <c:pt idx="21">
                  <c:v>3.2537052488791951</c:v>
                </c:pt>
                <c:pt idx="22">
                  <c:v>3.1706862278617711</c:v>
                </c:pt>
                <c:pt idx="23">
                  <c:v>2.7720645963511972</c:v>
                </c:pt>
                <c:pt idx="24">
                  <c:v>2.7018461986976412</c:v>
                </c:pt>
              </c:numCache>
            </c:numRef>
          </c:yVal>
          <c:smooth val="0"/>
          <c:extLst>
            <c:ext xmlns:c16="http://schemas.microsoft.com/office/drawing/2014/chart" uri="{C3380CC4-5D6E-409C-BE32-E72D297353CC}">
              <c16:uniqueId val="{00000003-BB8C-42B5-9634-6EBE277F0E9B}"/>
            </c:ext>
          </c:extLst>
        </c:ser>
        <c:dLbls>
          <c:showLegendKey val="0"/>
          <c:showVal val="0"/>
          <c:showCatName val="0"/>
          <c:showSerName val="0"/>
          <c:showPercent val="0"/>
          <c:showBubbleSize val="0"/>
        </c:dLbls>
        <c:axId val="1860278144"/>
        <c:axId val="1"/>
      </c:scatterChart>
      <c:valAx>
        <c:axId val="1860278144"/>
        <c:scaling>
          <c:orientation val="minMax"/>
          <c:min val="50"/>
        </c:scaling>
        <c:delete val="0"/>
        <c:axPos val="b"/>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3756370643542977"/>
              <c:y val="0.8073166830708661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6"/>
        </c:scaling>
        <c:delete val="0"/>
        <c:axPos val="l"/>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Leaf Area Index</a:t>
                </a:r>
              </a:p>
            </c:rich>
          </c:tx>
          <c:layout>
            <c:manualLayout>
              <c:xMode val="edge"/>
              <c:yMode val="edge"/>
              <c:x val="1.6878301604704476E-2"/>
              <c:y val="0.1536507545931758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78144"/>
        <c:crosses val="autoZero"/>
        <c:crossBetween val="midCat"/>
        <c:majorUnit val="1"/>
      </c:valAx>
      <c:spPr>
        <a:noFill/>
        <a:ln w="3175">
          <a:solidFill>
            <a:srgbClr val="000000"/>
          </a:solidFill>
          <a:prstDash val="solid"/>
        </a:ln>
      </c:spPr>
    </c:plotArea>
    <c:legend>
      <c:legendPos val="r"/>
      <c:layout>
        <c:manualLayout>
          <c:xMode val="edge"/>
          <c:yMode val="edge"/>
          <c:x val="0.14430855075849497"/>
          <c:y val="0.89352032853156349"/>
          <c:w val="0.78483597780935854"/>
          <c:h val="9.1718974120789637E-2"/>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817811138347019E-2"/>
          <c:y val="0.10881181729529908"/>
          <c:w val="0.85746676997870153"/>
          <c:h val="0.54664984403114536"/>
        </c:manualLayout>
      </c:layout>
      <c:scatterChart>
        <c:scatterStyle val="lineMarker"/>
        <c:varyColors val="0"/>
        <c:ser>
          <c:idx val="0"/>
          <c:order val="0"/>
          <c:tx>
            <c:strRef>
              <c:f>Graphs!$AI$26</c:f>
              <c:strCache>
                <c:ptCount val="1"/>
                <c:pt idx="0">
                  <c:v>SE</c:v>
                </c:pt>
              </c:strCache>
            </c:strRef>
          </c:tx>
          <c:spPr>
            <a:ln w="3175">
              <a:solidFill>
                <a:srgbClr val="000000"/>
              </a:solidFill>
              <a:prstDash val="solid"/>
            </a:ln>
          </c:spPr>
          <c:marker>
            <c:symbol val="plus"/>
            <c:size val="7"/>
            <c:spPr>
              <a:noFill/>
              <a:ln>
                <a:solidFill>
                  <a:srgbClr val="000000"/>
                </a:solidFill>
                <a:prstDash val="solid"/>
              </a:ln>
            </c:spPr>
          </c:marker>
          <c:xVal>
            <c:numRef>
              <c:f>Graphs!$AH$27:$AH$40</c:f>
              <c:numCache>
                <c:formatCode>General</c:formatCode>
                <c:ptCount val="14"/>
                <c:pt idx="0">
                  <c:v>131</c:v>
                </c:pt>
                <c:pt idx="1">
                  <c:v>153</c:v>
                </c:pt>
                <c:pt idx="3">
                  <c:v>173</c:v>
                </c:pt>
                <c:pt idx="4">
                  <c:v>187</c:v>
                </c:pt>
                <c:pt idx="6">
                  <c:v>200</c:v>
                </c:pt>
                <c:pt idx="7">
                  <c:v>209</c:v>
                </c:pt>
                <c:pt idx="8">
                  <c:v>224</c:v>
                </c:pt>
                <c:pt idx="10">
                  <c:v>237</c:v>
                </c:pt>
                <c:pt idx="11">
                  <c:v>251</c:v>
                </c:pt>
                <c:pt idx="12">
                  <c:v>265</c:v>
                </c:pt>
                <c:pt idx="13">
                  <c:v>277</c:v>
                </c:pt>
              </c:numCache>
            </c:numRef>
          </c:xVal>
          <c:yVal>
            <c:numRef>
              <c:f>Graphs!$AI$27:$AI$40</c:f>
              <c:numCache>
                <c:formatCode>0.00</c:formatCode>
                <c:ptCount val="14"/>
                <c:pt idx="0" formatCode="General">
                  <c:v>1.9976418940302934</c:v>
                </c:pt>
                <c:pt idx="1">
                  <c:v>3.059291917162974</c:v>
                </c:pt>
                <c:pt idx="3" formatCode="General">
                  <c:v>2.4183882535912167</c:v>
                </c:pt>
                <c:pt idx="4" formatCode="General">
                  <c:v>3.3206520076373462</c:v>
                </c:pt>
                <c:pt idx="6" formatCode="General">
                  <c:v>1.4926028902633162</c:v>
                </c:pt>
                <c:pt idx="7" formatCode="General">
                  <c:v>3.5981554759722219</c:v>
                </c:pt>
                <c:pt idx="8" formatCode="General">
                  <c:v>3.3374163487615696</c:v>
                </c:pt>
                <c:pt idx="10" formatCode="General">
                  <c:v>1.4229854814026219</c:v>
                </c:pt>
                <c:pt idx="11" formatCode="General">
                  <c:v>3.1868784197086479</c:v>
                </c:pt>
                <c:pt idx="12" formatCode="General">
                  <c:v>3.4995276081623103</c:v>
                </c:pt>
                <c:pt idx="13" formatCode="General">
                  <c:v>3.1239760220376267</c:v>
                </c:pt>
              </c:numCache>
            </c:numRef>
          </c:yVal>
          <c:smooth val="0"/>
          <c:extLst>
            <c:ext xmlns:c16="http://schemas.microsoft.com/office/drawing/2014/chart" uri="{C3380CC4-5D6E-409C-BE32-E72D297353CC}">
              <c16:uniqueId val="{00000000-8347-44B5-B61C-DE8FC338CAB7}"/>
            </c:ext>
          </c:extLst>
        </c:ser>
        <c:ser>
          <c:idx val="1"/>
          <c:order val="1"/>
          <c:tx>
            <c:strRef>
              <c:f>Graphs!$AJ$26</c:f>
              <c:strCache>
                <c:ptCount val="1"/>
                <c:pt idx="0">
                  <c:v>NE</c:v>
                </c:pt>
              </c:strCache>
            </c:strRef>
          </c:tx>
          <c:spPr>
            <a:ln w="3175">
              <a:solidFill>
                <a:srgbClr val="000000"/>
              </a:solidFill>
              <a:prstDash val="lgDash"/>
            </a:ln>
          </c:spPr>
          <c:marker>
            <c:symbol val="square"/>
            <c:size val="7"/>
            <c:spPr>
              <a:noFill/>
              <a:ln>
                <a:solidFill>
                  <a:srgbClr val="000000"/>
                </a:solidFill>
                <a:prstDash val="solid"/>
              </a:ln>
            </c:spPr>
          </c:marker>
          <c:xVal>
            <c:numRef>
              <c:f>Graphs!$AH$27:$AH$40</c:f>
              <c:numCache>
                <c:formatCode>General</c:formatCode>
                <c:ptCount val="14"/>
                <c:pt idx="0">
                  <c:v>131</c:v>
                </c:pt>
                <c:pt idx="1">
                  <c:v>153</c:v>
                </c:pt>
                <c:pt idx="3">
                  <c:v>173</c:v>
                </c:pt>
                <c:pt idx="4">
                  <c:v>187</c:v>
                </c:pt>
                <c:pt idx="6">
                  <c:v>200</c:v>
                </c:pt>
                <c:pt idx="7">
                  <c:v>209</c:v>
                </c:pt>
                <c:pt idx="8">
                  <c:v>224</c:v>
                </c:pt>
                <c:pt idx="10">
                  <c:v>237</c:v>
                </c:pt>
                <c:pt idx="11">
                  <c:v>251</c:v>
                </c:pt>
                <c:pt idx="12">
                  <c:v>265</c:v>
                </c:pt>
                <c:pt idx="13">
                  <c:v>277</c:v>
                </c:pt>
              </c:numCache>
            </c:numRef>
          </c:xVal>
          <c:yVal>
            <c:numRef>
              <c:f>Graphs!$AJ$27:$AJ$40</c:f>
              <c:numCache>
                <c:formatCode>General</c:formatCode>
                <c:ptCount val="14"/>
                <c:pt idx="0">
                  <c:v>1.8392932343987849</c:v>
                </c:pt>
                <c:pt idx="1">
                  <c:v>2.9260752892084678</c:v>
                </c:pt>
                <c:pt idx="3">
                  <c:v>2.1723331890965096</c:v>
                </c:pt>
                <c:pt idx="4">
                  <c:v>3.5738248306110774</c:v>
                </c:pt>
                <c:pt idx="6">
                  <c:v>1.8500588602847123</c:v>
                </c:pt>
                <c:pt idx="7">
                  <c:v>3.4211091389568002</c:v>
                </c:pt>
                <c:pt idx="8">
                  <c:v>3.9930584979551611</c:v>
                </c:pt>
                <c:pt idx="10">
                  <c:v>1.3807734575899702</c:v>
                </c:pt>
                <c:pt idx="11">
                  <c:v>4.3673713001086458</c:v>
                </c:pt>
                <c:pt idx="12">
                  <c:v>4.2240059598289905</c:v>
                </c:pt>
                <c:pt idx="13">
                  <c:v>4.1884908107321852</c:v>
                </c:pt>
              </c:numCache>
            </c:numRef>
          </c:yVal>
          <c:smooth val="0"/>
          <c:extLst>
            <c:ext xmlns:c16="http://schemas.microsoft.com/office/drawing/2014/chart" uri="{C3380CC4-5D6E-409C-BE32-E72D297353CC}">
              <c16:uniqueId val="{00000001-8347-44B5-B61C-DE8FC338CAB7}"/>
            </c:ext>
          </c:extLst>
        </c:ser>
        <c:ser>
          <c:idx val="2"/>
          <c:order val="2"/>
          <c:tx>
            <c:strRef>
              <c:f>Graphs!$AK$26</c:f>
              <c:strCache>
                <c:ptCount val="1"/>
                <c:pt idx="0">
                  <c:v>SE Lys</c:v>
                </c:pt>
              </c:strCache>
            </c:strRef>
          </c:tx>
          <c:spPr>
            <a:ln w="3175">
              <a:noFill/>
              <a:prstDash val="sysDash"/>
            </a:ln>
          </c:spPr>
          <c:marker>
            <c:symbol val="triangle"/>
            <c:size val="9"/>
            <c:spPr>
              <a:noFill/>
              <a:ln w="12700">
                <a:solidFill>
                  <a:srgbClr val="000000"/>
                </a:solidFill>
                <a:prstDash val="solid"/>
              </a:ln>
            </c:spPr>
          </c:marker>
          <c:xVal>
            <c:numRef>
              <c:f>Graphs!$AH$28:$AH$41</c:f>
              <c:numCache>
                <c:formatCode>General</c:formatCode>
                <c:ptCount val="14"/>
                <c:pt idx="0">
                  <c:v>153</c:v>
                </c:pt>
                <c:pt idx="2">
                  <c:v>173</c:v>
                </c:pt>
                <c:pt idx="3">
                  <c:v>187</c:v>
                </c:pt>
                <c:pt idx="5">
                  <c:v>200</c:v>
                </c:pt>
                <c:pt idx="6">
                  <c:v>209</c:v>
                </c:pt>
                <c:pt idx="7">
                  <c:v>224</c:v>
                </c:pt>
                <c:pt idx="9">
                  <c:v>237</c:v>
                </c:pt>
                <c:pt idx="10">
                  <c:v>251</c:v>
                </c:pt>
                <c:pt idx="11">
                  <c:v>265</c:v>
                </c:pt>
                <c:pt idx="12">
                  <c:v>277</c:v>
                </c:pt>
                <c:pt idx="13">
                  <c:v>278</c:v>
                </c:pt>
              </c:numCache>
            </c:numRef>
          </c:xVal>
          <c:yVal>
            <c:numRef>
              <c:f>Graphs!$AK$28:$AK$41</c:f>
              <c:numCache>
                <c:formatCode>General</c:formatCode>
                <c:ptCount val="14"/>
                <c:pt idx="0">
                  <c:v>2.3369234786640836</c:v>
                </c:pt>
                <c:pt idx="3">
                  <c:v>2.3514393651587664</c:v>
                </c:pt>
                <c:pt idx="7">
                  <c:v>2.8432280203556037</c:v>
                </c:pt>
                <c:pt idx="13">
                  <c:v>2.9903147465214901</c:v>
                </c:pt>
              </c:numCache>
            </c:numRef>
          </c:yVal>
          <c:smooth val="0"/>
          <c:extLst>
            <c:ext xmlns:c16="http://schemas.microsoft.com/office/drawing/2014/chart" uri="{C3380CC4-5D6E-409C-BE32-E72D297353CC}">
              <c16:uniqueId val="{00000002-8347-44B5-B61C-DE8FC338CAB7}"/>
            </c:ext>
          </c:extLst>
        </c:ser>
        <c:ser>
          <c:idx val="3"/>
          <c:order val="3"/>
          <c:tx>
            <c:strRef>
              <c:f>Graphs!$AL$26</c:f>
              <c:strCache>
                <c:ptCount val="1"/>
                <c:pt idx="0">
                  <c:v>NE Lys</c:v>
                </c:pt>
              </c:strCache>
            </c:strRef>
          </c:tx>
          <c:spPr>
            <a:ln w="3175">
              <a:noFill/>
              <a:prstDash val="lgDashDot"/>
            </a:ln>
          </c:spPr>
          <c:marker>
            <c:symbol val="circle"/>
            <c:size val="9"/>
            <c:spPr>
              <a:noFill/>
              <a:ln w="12700">
                <a:solidFill>
                  <a:srgbClr val="000000"/>
                </a:solidFill>
                <a:prstDash val="solid"/>
              </a:ln>
            </c:spPr>
          </c:marker>
          <c:xVal>
            <c:numRef>
              <c:f>Graphs!$AH$28:$AH$41</c:f>
              <c:numCache>
                <c:formatCode>General</c:formatCode>
                <c:ptCount val="14"/>
                <c:pt idx="0">
                  <c:v>153</c:v>
                </c:pt>
                <c:pt idx="2">
                  <c:v>173</c:v>
                </c:pt>
                <c:pt idx="3">
                  <c:v>187</c:v>
                </c:pt>
                <c:pt idx="5">
                  <c:v>200</c:v>
                </c:pt>
                <c:pt idx="6">
                  <c:v>209</c:v>
                </c:pt>
                <c:pt idx="7">
                  <c:v>224</c:v>
                </c:pt>
                <c:pt idx="9">
                  <c:v>237</c:v>
                </c:pt>
                <c:pt idx="10">
                  <c:v>251</c:v>
                </c:pt>
                <c:pt idx="11">
                  <c:v>265</c:v>
                </c:pt>
                <c:pt idx="12">
                  <c:v>277</c:v>
                </c:pt>
                <c:pt idx="13">
                  <c:v>278</c:v>
                </c:pt>
              </c:numCache>
            </c:numRef>
          </c:xVal>
          <c:yVal>
            <c:numRef>
              <c:f>Graphs!$AL$28:$AL$41</c:f>
              <c:numCache>
                <c:formatCode>General</c:formatCode>
                <c:ptCount val="14"/>
                <c:pt idx="0">
                  <c:v>2.9745755679474515</c:v>
                </c:pt>
                <c:pt idx="3" formatCode="0.00">
                  <c:v>2.604263448272659</c:v>
                </c:pt>
                <c:pt idx="7">
                  <c:v>2.9466477764812833</c:v>
                </c:pt>
                <c:pt idx="13">
                  <c:v>2.868468506311654</c:v>
                </c:pt>
              </c:numCache>
            </c:numRef>
          </c:yVal>
          <c:smooth val="0"/>
          <c:extLst>
            <c:ext xmlns:c16="http://schemas.microsoft.com/office/drawing/2014/chart" uri="{C3380CC4-5D6E-409C-BE32-E72D297353CC}">
              <c16:uniqueId val="{00000003-8347-44B5-B61C-DE8FC338CAB7}"/>
            </c:ext>
          </c:extLst>
        </c:ser>
        <c:dLbls>
          <c:showLegendKey val="0"/>
          <c:showVal val="0"/>
          <c:showCatName val="0"/>
          <c:showSerName val="0"/>
          <c:showPercent val="0"/>
          <c:showBubbleSize val="0"/>
        </c:dLbls>
        <c:axId val="1860233632"/>
        <c:axId val="1"/>
      </c:scatterChart>
      <c:valAx>
        <c:axId val="1860233632"/>
        <c:scaling>
          <c:orientation val="minMax"/>
          <c:min val="100"/>
        </c:scaling>
        <c:delete val="0"/>
        <c:axPos val="b"/>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42665219136889887"/>
              <c:y val="0.8083162661662111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majorUnit val="25"/>
      </c:valAx>
      <c:valAx>
        <c:axId val="1"/>
        <c:scaling>
          <c:orientation val="minMax"/>
        </c:scaling>
        <c:delete val="0"/>
        <c:axPos val="l"/>
        <c:title>
          <c:tx>
            <c:rich>
              <a:bodyPr/>
              <a:lstStyle/>
              <a:p>
                <a:pPr>
                  <a:defRPr sz="1200" b="0" i="0" u="none" strike="noStrike" baseline="0">
                    <a:solidFill>
                      <a:srgbClr val="000000"/>
                    </a:solidFill>
                    <a:latin typeface="Arial"/>
                    <a:ea typeface="Arial"/>
                    <a:cs typeface="Arial"/>
                  </a:defRPr>
                </a:pPr>
                <a:r>
                  <a:rPr lang="en-US"/>
                  <a:t>Leaf area index (-)</a:t>
                </a:r>
              </a:p>
            </c:rich>
          </c:tx>
          <c:layout>
            <c:manualLayout>
              <c:xMode val="edge"/>
              <c:yMode val="edge"/>
              <c:x val="8.3249895532049138E-3"/>
              <c:y val="0.1554453102688588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33632"/>
        <c:crosses val="autoZero"/>
        <c:crossBetween val="midCat"/>
        <c:majorUnit val="1"/>
      </c:valAx>
      <c:spPr>
        <a:noFill/>
        <a:ln w="3175">
          <a:solidFill>
            <a:srgbClr val="000000"/>
          </a:solidFill>
          <a:prstDash val="solid"/>
        </a:ln>
      </c:spPr>
    </c:plotArea>
    <c:legend>
      <c:legendPos val="r"/>
      <c:layout>
        <c:manualLayout>
          <c:xMode val="edge"/>
          <c:yMode val="edge"/>
          <c:x val="0.3358406745339107"/>
          <c:y val="0.89414805092186644"/>
          <c:w val="0.58678482167634971"/>
          <c:h val="9.1179570982164018E-2"/>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053332238518938"/>
          <c:y val="0.10937841619790123"/>
          <c:w val="0.69897063031882867"/>
          <c:h val="0.5338708409659465"/>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Graphs!$X$54:$X$78</c:f>
              <c:numCache>
                <c:formatCode>General</c:formatCode>
                <c:ptCount val="25"/>
                <c:pt idx="0">
                  <c:v>154</c:v>
                </c:pt>
                <c:pt idx="1">
                  <c:v>173</c:v>
                </c:pt>
                <c:pt idx="2">
                  <c:v>173</c:v>
                </c:pt>
                <c:pt idx="3">
                  <c:v>173</c:v>
                </c:pt>
                <c:pt idx="4">
                  <c:v>173</c:v>
                </c:pt>
                <c:pt idx="5">
                  <c:v>173</c:v>
                </c:pt>
                <c:pt idx="6">
                  <c:v>173</c:v>
                </c:pt>
                <c:pt idx="7">
                  <c:v>173</c:v>
                </c:pt>
                <c:pt idx="8">
                  <c:v>173</c:v>
                </c:pt>
                <c:pt idx="9">
                  <c:v>187</c:v>
                </c:pt>
                <c:pt idx="10">
                  <c:v>187</c:v>
                </c:pt>
                <c:pt idx="11">
                  <c:v>187</c:v>
                </c:pt>
                <c:pt idx="12">
                  <c:v>187</c:v>
                </c:pt>
                <c:pt idx="13">
                  <c:v>187</c:v>
                </c:pt>
                <c:pt idx="14">
                  <c:v>187</c:v>
                </c:pt>
                <c:pt idx="15">
                  <c:v>187</c:v>
                </c:pt>
                <c:pt idx="16">
                  <c:v>187</c:v>
                </c:pt>
                <c:pt idx="17">
                  <c:v>187</c:v>
                </c:pt>
                <c:pt idx="18">
                  <c:v>187</c:v>
                </c:pt>
                <c:pt idx="19">
                  <c:v>187</c:v>
                </c:pt>
                <c:pt idx="20">
                  <c:v>187</c:v>
                </c:pt>
                <c:pt idx="21">
                  <c:v>187</c:v>
                </c:pt>
                <c:pt idx="22">
                  <c:v>187</c:v>
                </c:pt>
                <c:pt idx="23">
                  <c:v>187</c:v>
                </c:pt>
                <c:pt idx="24">
                  <c:v>187</c:v>
                </c:pt>
              </c:numCache>
            </c:numRef>
          </c:xVal>
          <c:yVal>
            <c:numRef>
              <c:f>Graphs!$Y$54:$Y$78</c:f>
              <c:numCache>
                <c:formatCode>General</c:formatCode>
                <c:ptCount val="25"/>
                <c:pt idx="0">
                  <c:v>0</c:v>
                </c:pt>
                <c:pt idx="1">
                  <c:v>2.5088548971596474</c:v>
                </c:pt>
                <c:pt idx="2">
                  <c:v>2.2496503227408144</c:v>
                </c:pt>
                <c:pt idx="3">
                  <c:v>2.3310106156824784</c:v>
                </c:pt>
                <c:pt idx="4">
                  <c:v>2.5840371787819256</c:v>
                </c:pt>
                <c:pt idx="9">
                  <c:v>3.6437532595134123</c:v>
                </c:pt>
                <c:pt idx="10">
                  <c:v>2.6207903178294574</c:v>
                </c:pt>
                <c:pt idx="11">
                  <c:v>3.0608283937947496</c:v>
                </c:pt>
                <c:pt idx="12">
                  <c:v>3.9572360594117644</c:v>
                </c:pt>
              </c:numCache>
            </c:numRef>
          </c:yVal>
          <c:smooth val="0"/>
          <c:extLst>
            <c:ext xmlns:c16="http://schemas.microsoft.com/office/drawing/2014/chart" uri="{C3380CC4-5D6E-409C-BE32-E72D297353CC}">
              <c16:uniqueId val="{00000000-C9E4-420A-8FD3-2FE0BB0321FE}"/>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xVal>
            <c:numRef>
              <c:f>Graphs!$X$54:$X$78</c:f>
              <c:numCache>
                <c:formatCode>General</c:formatCode>
                <c:ptCount val="25"/>
                <c:pt idx="0">
                  <c:v>154</c:v>
                </c:pt>
                <c:pt idx="1">
                  <c:v>173</c:v>
                </c:pt>
                <c:pt idx="2">
                  <c:v>173</c:v>
                </c:pt>
                <c:pt idx="3">
                  <c:v>173</c:v>
                </c:pt>
                <c:pt idx="4">
                  <c:v>173</c:v>
                </c:pt>
                <c:pt idx="5">
                  <c:v>173</c:v>
                </c:pt>
                <c:pt idx="6">
                  <c:v>173</c:v>
                </c:pt>
                <c:pt idx="7">
                  <c:v>173</c:v>
                </c:pt>
                <c:pt idx="8">
                  <c:v>173</c:v>
                </c:pt>
                <c:pt idx="9">
                  <c:v>187</c:v>
                </c:pt>
                <c:pt idx="10">
                  <c:v>187</c:v>
                </c:pt>
                <c:pt idx="11">
                  <c:v>187</c:v>
                </c:pt>
                <c:pt idx="12">
                  <c:v>187</c:v>
                </c:pt>
                <c:pt idx="13">
                  <c:v>187</c:v>
                </c:pt>
                <c:pt idx="14">
                  <c:v>187</c:v>
                </c:pt>
                <c:pt idx="15">
                  <c:v>187</c:v>
                </c:pt>
                <c:pt idx="16">
                  <c:v>187</c:v>
                </c:pt>
                <c:pt idx="17">
                  <c:v>187</c:v>
                </c:pt>
                <c:pt idx="18">
                  <c:v>187</c:v>
                </c:pt>
                <c:pt idx="19">
                  <c:v>187</c:v>
                </c:pt>
                <c:pt idx="20">
                  <c:v>187</c:v>
                </c:pt>
                <c:pt idx="21">
                  <c:v>187</c:v>
                </c:pt>
                <c:pt idx="22">
                  <c:v>187</c:v>
                </c:pt>
                <c:pt idx="23">
                  <c:v>187</c:v>
                </c:pt>
                <c:pt idx="24">
                  <c:v>187</c:v>
                </c:pt>
              </c:numCache>
            </c:numRef>
          </c:xVal>
          <c:yVal>
            <c:numRef>
              <c:f>Graphs!$Z$54:$Z$78</c:f>
              <c:numCache>
                <c:formatCode>General</c:formatCode>
                <c:ptCount val="25"/>
                <c:pt idx="0">
                  <c:v>0</c:v>
                </c:pt>
                <c:pt idx="5">
                  <c:v>1.9575880579710145</c:v>
                </c:pt>
                <c:pt idx="6">
                  <c:v>2.8087347030784513</c:v>
                </c:pt>
                <c:pt idx="7">
                  <c:v>1.6777112988047806</c:v>
                </c:pt>
                <c:pt idx="8">
                  <c:v>2.2452986965317918</c:v>
                </c:pt>
                <c:pt idx="13">
                  <c:v>2.9095507041420117</c:v>
                </c:pt>
                <c:pt idx="14">
                  <c:v>4.1038966256313127</c:v>
                </c:pt>
                <c:pt idx="15">
                  <c:v>3.4517531269649329</c:v>
                </c:pt>
                <c:pt idx="16">
                  <c:v>3.8300988657060517</c:v>
                </c:pt>
              </c:numCache>
            </c:numRef>
          </c:yVal>
          <c:smooth val="0"/>
          <c:extLst>
            <c:ext xmlns:c16="http://schemas.microsoft.com/office/drawing/2014/chart" uri="{C3380CC4-5D6E-409C-BE32-E72D297353CC}">
              <c16:uniqueId val="{00000001-C9E4-420A-8FD3-2FE0BB0321FE}"/>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Graphs!$X$54:$X$78</c:f>
              <c:numCache>
                <c:formatCode>General</c:formatCode>
                <c:ptCount val="25"/>
                <c:pt idx="0">
                  <c:v>154</c:v>
                </c:pt>
                <c:pt idx="1">
                  <c:v>173</c:v>
                </c:pt>
                <c:pt idx="2">
                  <c:v>173</c:v>
                </c:pt>
                <c:pt idx="3">
                  <c:v>173</c:v>
                </c:pt>
                <c:pt idx="4">
                  <c:v>173</c:v>
                </c:pt>
                <c:pt idx="5">
                  <c:v>173</c:v>
                </c:pt>
                <c:pt idx="6">
                  <c:v>173</c:v>
                </c:pt>
                <c:pt idx="7">
                  <c:v>173</c:v>
                </c:pt>
                <c:pt idx="8">
                  <c:v>173</c:v>
                </c:pt>
                <c:pt idx="9">
                  <c:v>187</c:v>
                </c:pt>
                <c:pt idx="10">
                  <c:v>187</c:v>
                </c:pt>
                <c:pt idx="11">
                  <c:v>187</c:v>
                </c:pt>
                <c:pt idx="12">
                  <c:v>187</c:v>
                </c:pt>
                <c:pt idx="13">
                  <c:v>187</c:v>
                </c:pt>
                <c:pt idx="14">
                  <c:v>187</c:v>
                </c:pt>
                <c:pt idx="15">
                  <c:v>187</c:v>
                </c:pt>
                <c:pt idx="16">
                  <c:v>187</c:v>
                </c:pt>
                <c:pt idx="17">
                  <c:v>187</c:v>
                </c:pt>
                <c:pt idx="18">
                  <c:v>187</c:v>
                </c:pt>
                <c:pt idx="19">
                  <c:v>187</c:v>
                </c:pt>
                <c:pt idx="20">
                  <c:v>187</c:v>
                </c:pt>
                <c:pt idx="21">
                  <c:v>187</c:v>
                </c:pt>
                <c:pt idx="22">
                  <c:v>187</c:v>
                </c:pt>
                <c:pt idx="23">
                  <c:v>187</c:v>
                </c:pt>
                <c:pt idx="24">
                  <c:v>187</c:v>
                </c:pt>
              </c:numCache>
            </c:numRef>
          </c:xVal>
          <c:yVal>
            <c:numRef>
              <c:f>Graphs!$AA$54:$AA$78</c:f>
              <c:numCache>
                <c:formatCode>General</c:formatCode>
                <c:ptCount val="25"/>
                <c:pt idx="0">
                  <c:v>0</c:v>
                </c:pt>
                <c:pt idx="17">
                  <c:v>2.2944875606510968</c:v>
                </c:pt>
                <c:pt idx="18">
                  <c:v>2.5682601574987221</c:v>
                </c:pt>
                <c:pt idx="19">
                  <c:v>2.4364577144091597</c:v>
                </c:pt>
                <c:pt idx="20">
                  <c:v>2.1065520280760861</c:v>
                </c:pt>
              </c:numCache>
            </c:numRef>
          </c:yVal>
          <c:smooth val="0"/>
          <c:extLst>
            <c:ext xmlns:c16="http://schemas.microsoft.com/office/drawing/2014/chart" uri="{C3380CC4-5D6E-409C-BE32-E72D297353CC}">
              <c16:uniqueId val="{00000002-C9E4-420A-8FD3-2FE0BB0321FE}"/>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Graphs!$X$54:$X$78</c:f>
              <c:numCache>
                <c:formatCode>General</c:formatCode>
                <c:ptCount val="25"/>
                <c:pt idx="0">
                  <c:v>154</c:v>
                </c:pt>
                <c:pt idx="1">
                  <c:v>173</c:v>
                </c:pt>
                <c:pt idx="2">
                  <c:v>173</c:v>
                </c:pt>
                <c:pt idx="3">
                  <c:v>173</c:v>
                </c:pt>
                <c:pt idx="4">
                  <c:v>173</c:v>
                </c:pt>
                <c:pt idx="5">
                  <c:v>173</c:v>
                </c:pt>
                <c:pt idx="6">
                  <c:v>173</c:v>
                </c:pt>
                <c:pt idx="7">
                  <c:v>173</c:v>
                </c:pt>
                <c:pt idx="8">
                  <c:v>173</c:v>
                </c:pt>
                <c:pt idx="9">
                  <c:v>187</c:v>
                </c:pt>
                <c:pt idx="10">
                  <c:v>187</c:v>
                </c:pt>
                <c:pt idx="11">
                  <c:v>187</c:v>
                </c:pt>
                <c:pt idx="12">
                  <c:v>187</c:v>
                </c:pt>
                <c:pt idx="13">
                  <c:v>187</c:v>
                </c:pt>
                <c:pt idx="14">
                  <c:v>187</c:v>
                </c:pt>
                <c:pt idx="15">
                  <c:v>187</c:v>
                </c:pt>
                <c:pt idx="16">
                  <c:v>187</c:v>
                </c:pt>
                <c:pt idx="17">
                  <c:v>187</c:v>
                </c:pt>
                <c:pt idx="18">
                  <c:v>187</c:v>
                </c:pt>
                <c:pt idx="19">
                  <c:v>187</c:v>
                </c:pt>
                <c:pt idx="20">
                  <c:v>187</c:v>
                </c:pt>
                <c:pt idx="21">
                  <c:v>187</c:v>
                </c:pt>
                <c:pt idx="22">
                  <c:v>187</c:v>
                </c:pt>
                <c:pt idx="23">
                  <c:v>187</c:v>
                </c:pt>
                <c:pt idx="24">
                  <c:v>187</c:v>
                </c:pt>
              </c:numCache>
            </c:numRef>
          </c:xVal>
          <c:yVal>
            <c:numRef>
              <c:f>Graphs!$AB$54:$AB$78</c:f>
              <c:numCache>
                <c:formatCode>General</c:formatCode>
                <c:ptCount val="25"/>
                <c:pt idx="0">
                  <c:v>0</c:v>
                </c:pt>
                <c:pt idx="21" formatCode="0.00">
                  <c:v>2.2554719209183669</c:v>
                </c:pt>
                <c:pt idx="22">
                  <c:v>2.5207809122695486</c:v>
                </c:pt>
                <c:pt idx="23">
                  <c:v>3.1792002843326883</c:v>
                </c:pt>
                <c:pt idx="24">
                  <c:v>2.4616006755700321</c:v>
                </c:pt>
              </c:numCache>
            </c:numRef>
          </c:yVal>
          <c:smooth val="0"/>
          <c:extLst>
            <c:ext xmlns:c16="http://schemas.microsoft.com/office/drawing/2014/chart" uri="{C3380CC4-5D6E-409C-BE32-E72D297353CC}">
              <c16:uniqueId val="{00000003-C9E4-420A-8FD3-2FE0BB0321FE}"/>
            </c:ext>
          </c:extLst>
        </c:ser>
        <c:dLbls>
          <c:showLegendKey val="0"/>
          <c:showVal val="0"/>
          <c:showCatName val="0"/>
          <c:showSerName val="0"/>
          <c:showPercent val="0"/>
          <c:showBubbleSize val="0"/>
        </c:dLbls>
        <c:axId val="1860268160"/>
        <c:axId val="1"/>
      </c:scatterChart>
      <c:valAx>
        <c:axId val="1860268160"/>
        <c:scaling>
          <c:orientation val="minMax"/>
          <c:min val="150"/>
        </c:scaling>
        <c:delete val="0"/>
        <c:axPos val="b"/>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5790667219229177"/>
              <c:y val="0.7969000164041993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majorUnit val="10"/>
      </c:valAx>
      <c:valAx>
        <c:axId val="1"/>
        <c:scaling>
          <c:orientation val="minMax"/>
          <c:max val="6"/>
        </c:scaling>
        <c:delete val="0"/>
        <c:axPos val="l"/>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Leaf Area Index</a:t>
                </a:r>
              </a:p>
            </c:rich>
          </c:tx>
          <c:layout>
            <c:manualLayout>
              <c:xMode val="edge"/>
              <c:yMode val="edge"/>
              <c:x val="4.2106589307915457E-2"/>
              <c:y val="0.14844201115485564"/>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68160"/>
        <c:crosses val="autoZero"/>
        <c:crossBetween val="midCat"/>
      </c:valAx>
      <c:spPr>
        <a:noFill/>
        <a:ln w="3175">
          <a:solidFill>
            <a:srgbClr val="000000"/>
          </a:solidFill>
          <a:prstDash val="solid"/>
        </a:ln>
      </c:spPr>
    </c:plotArea>
    <c:legend>
      <c:legendPos val="r"/>
      <c:layout>
        <c:manualLayout>
          <c:xMode val="edge"/>
          <c:yMode val="edge"/>
          <c:x val="0.14899489567397153"/>
          <c:y val="0.89352032853156349"/>
          <c:w val="0.78285453659205373"/>
          <c:h val="9.1718974120789637E-2"/>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886761773894408"/>
          <c:y val="0.10937841619790123"/>
          <c:w val="0.70044494029625681"/>
          <c:h val="0.53907933697537036"/>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Graphs!$X$101:$X$133</c:f>
              <c:numCache>
                <c:formatCode>General</c:formatCode>
                <c:ptCount val="33"/>
                <c:pt idx="0">
                  <c:v>188</c:v>
                </c:pt>
                <c:pt idx="1">
                  <c:v>200</c:v>
                </c:pt>
                <c:pt idx="2">
                  <c:v>200</c:v>
                </c:pt>
                <c:pt idx="3">
                  <c:v>200</c:v>
                </c:pt>
                <c:pt idx="4">
                  <c:v>200</c:v>
                </c:pt>
                <c:pt idx="5">
                  <c:v>200</c:v>
                </c:pt>
                <c:pt idx="6">
                  <c:v>200</c:v>
                </c:pt>
                <c:pt idx="7">
                  <c:v>200</c:v>
                </c:pt>
                <c:pt idx="8">
                  <c:v>200</c:v>
                </c:pt>
                <c:pt idx="9">
                  <c:v>209</c:v>
                </c:pt>
                <c:pt idx="10">
                  <c:v>209</c:v>
                </c:pt>
                <c:pt idx="11">
                  <c:v>209</c:v>
                </c:pt>
                <c:pt idx="12">
                  <c:v>209</c:v>
                </c:pt>
                <c:pt idx="13">
                  <c:v>209</c:v>
                </c:pt>
                <c:pt idx="14">
                  <c:v>209</c:v>
                </c:pt>
                <c:pt idx="15">
                  <c:v>209</c:v>
                </c:pt>
                <c:pt idx="16">
                  <c:v>209</c:v>
                </c:pt>
                <c:pt idx="17">
                  <c:v>224</c:v>
                </c:pt>
                <c:pt idx="18">
                  <c:v>224</c:v>
                </c:pt>
                <c:pt idx="19">
                  <c:v>224</c:v>
                </c:pt>
                <c:pt idx="20">
                  <c:v>224</c:v>
                </c:pt>
                <c:pt idx="21">
                  <c:v>224</c:v>
                </c:pt>
                <c:pt idx="22">
                  <c:v>224</c:v>
                </c:pt>
                <c:pt idx="23">
                  <c:v>224</c:v>
                </c:pt>
                <c:pt idx="24">
                  <c:v>224</c:v>
                </c:pt>
                <c:pt idx="25">
                  <c:v>224</c:v>
                </c:pt>
                <c:pt idx="26">
                  <c:v>224</c:v>
                </c:pt>
                <c:pt idx="27">
                  <c:v>224</c:v>
                </c:pt>
                <c:pt idx="28">
                  <c:v>224</c:v>
                </c:pt>
                <c:pt idx="29">
                  <c:v>224</c:v>
                </c:pt>
                <c:pt idx="30">
                  <c:v>224</c:v>
                </c:pt>
                <c:pt idx="31">
                  <c:v>224</c:v>
                </c:pt>
                <c:pt idx="32">
                  <c:v>224</c:v>
                </c:pt>
              </c:numCache>
            </c:numRef>
          </c:xVal>
          <c:yVal>
            <c:numRef>
              <c:f>Graphs!$Y$101:$Y$133</c:f>
              <c:numCache>
                <c:formatCode>General</c:formatCode>
                <c:ptCount val="33"/>
                <c:pt idx="0">
                  <c:v>0</c:v>
                </c:pt>
                <c:pt idx="1">
                  <c:v>1.7108937075471697</c:v>
                </c:pt>
                <c:pt idx="2">
                  <c:v>1.5044714941451991</c:v>
                </c:pt>
                <c:pt idx="3">
                  <c:v>1.4414896551724139</c:v>
                </c:pt>
                <c:pt idx="4">
                  <c:v>1.3135567041884817</c:v>
                </c:pt>
                <c:pt idx="9">
                  <c:v>3.7585263119556616</c:v>
                </c:pt>
                <c:pt idx="10">
                  <c:v>3.6716128740157479</c:v>
                </c:pt>
                <c:pt idx="11">
                  <c:v>3.4608230910518052</c:v>
                </c:pt>
                <c:pt idx="12">
                  <c:v>3.5016596268656714</c:v>
                </c:pt>
                <c:pt idx="17">
                  <c:v>3.1812930800000001</c:v>
                </c:pt>
                <c:pt idx="18">
                  <c:v>3.48496944</c:v>
                </c:pt>
                <c:pt idx="19">
                  <c:v>3.6117507534246571</c:v>
                </c:pt>
                <c:pt idx="20">
                  <c:v>3.0716521216216215</c:v>
                </c:pt>
              </c:numCache>
            </c:numRef>
          </c:yVal>
          <c:smooth val="0"/>
          <c:extLst>
            <c:ext xmlns:c16="http://schemas.microsoft.com/office/drawing/2014/chart" uri="{C3380CC4-5D6E-409C-BE32-E72D297353CC}">
              <c16:uniqueId val="{00000000-78D0-4E2F-99A9-C6DC5B15E992}"/>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xVal>
            <c:numRef>
              <c:f>Graphs!$X$101:$X$133</c:f>
              <c:numCache>
                <c:formatCode>General</c:formatCode>
                <c:ptCount val="33"/>
                <c:pt idx="0">
                  <c:v>188</c:v>
                </c:pt>
                <c:pt idx="1">
                  <c:v>200</c:v>
                </c:pt>
                <c:pt idx="2">
                  <c:v>200</c:v>
                </c:pt>
                <c:pt idx="3">
                  <c:v>200</c:v>
                </c:pt>
                <c:pt idx="4">
                  <c:v>200</c:v>
                </c:pt>
                <c:pt idx="5">
                  <c:v>200</c:v>
                </c:pt>
                <c:pt idx="6">
                  <c:v>200</c:v>
                </c:pt>
                <c:pt idx="7">
                  <c:v>200</c:v>
                </c:pt>
                <c:pt idx="8">
                  <c:v>200</c:v>
                </c:pt>
                <c:pt idx="9">
                  <c:v>209</c:v>
                </c:pt>
                <c:pt idx="10">
                  <c:v>209</c:v>
                </c:pt>
                <c:pt idx="11">
                  <c:v>209</c:v>
                </c:pt>
                <c:pt idx="12">
                  <c:v>209</c:v>
                </c:pt>
                <c:pt idx="13">
                  <c:v>209</c:v>
                </c:pt>
                <c:pt idx="14">
                  <c:v>209</c:v>
                </c:pt>
                <c:pt idx="15">
                  <c:v>209</c:v>
                </c:pt>
                <c:pt idx="16">
                  <c:v>209</c:v>
                </c:pt>
                <c:pt idx="17">
                  <c:v>224</c:v>
                </c:pt>
                <c:pt idx="18">
                  <c:v>224</c:v>
                </c:pt>
                <c:pt idx="19">
                  <c:v>224</c:v>
                </c:pt>
                <c:pt idx="20">
                  <c:v>224</c:v>
                </c:pt>
                <c:pt idx="21">
                  <c:v>224</c:v>
                </c:pt>
                <c:pt idx="22">
                  <c:v>224</c:v>
                </c:pt>
                <c:pt idx="23">
                  <c:v>224</c:v>
                </c:pt>
                <c:pt idx="24">
                  <c:v>224</c:v>
                </c:pt>
                <c:pt idx="25">
                  <c:v>224</c:v>
                </c:pt>
                <c:pt idx="26">
                  <c:v>224</c:v>
                </c:pt>
                <c:pt idx="27">
                  <c:v>224</c:v>
                </c:pt>
                <c:pt idx="28">
                  <c:v>224</c:v>
                </c:pt>
                <c:pt idx="29">
                  <c:v>224</c:v>
                </c:pt>
                <c:pt idx="30">
                  <c:v>224</c:v>
                </c:pt>
                <c:pt idx="31">
                  <c:v>224</c:v>
                </c:pt>
                <c:pt idx="32">
                  <c:v>224</c:v>
                </c:pt>
              </c:numCache>
            </c:numRef>
          </c:xVal>
          <c:yVal>
            <c:numRef>
              <c:f>Graphs!$Z$101:$Z$133</c:f>
              <c:numCache>
                <c:formatCode>General</c:formatCode>
                <c:ptCount val="33"/>
                <c:pt idx="0">
                  <c:v>0</c:v>
                </c:pt>
                <c:pt idx="5">
                  <c:v>1.9899738983050848</c:v>
                </c:pt>
                <c:pt idx="6">
                  <c:v>1.8317012629757785</c:v>
                </c:pt>
                <c:pt idx="7">
                  <c:v>1.7236874276243093</c:v>
                </c:pt>
                <c:pt idx="8">
                  <c:v>1.8548728522336768</c:v>
                </c:pt>
                <c:pt idx="13">
                  <c:v>3.6393504098746083</c:v>
                </c:pt>
                <c:pt idx="14">
                  <c:v>3.694377767772512</c:v>
                </c:pt>
                <c:pt idx="15">
                  <c:v>2.8429799232000001</c:v>
                </c:pt>
                <c:pt idx="16">
                  <c:v>3.5077284549800796</c:v>
                </c:pt>
                <c:pt idx="21">
                  <c:v>4.1948206733333331</c:v>
                </c:pt>
                <c:pt idx="22">
                  <c:v>4.3697540204081635</c:v>
                </c:pt>
                <c:pt idx="23">
                  <c:v>3.4533591946308722</c:v>
                </c:pt>
                <c:pt idx="24">
                  <c:v>3.9543001034482761</c:v>
                </c:pt>
              </c:numCache>
            </c:numRef>
          </c:yVal>
          <c:smooth val="0"/>
          <c:extLst>
            <c:ext xmlns:c16="http://schemas.microsoft.com/office/drawing/2014/chart" uri="{C3380CC4-5D6E-409C-BE32-E72D297353CC}">
              <c16:uniqueId val="{00000001-78D0-4E2F-99A9-C6DC5B15E992}"/>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Graphs!$X$101:$X$133</c:f>
              <c:numCache>
                <c:formatCode>General</c:formatCode>
                <c:ptCount val="33"/>
                <c:pt idx="0">
                  <c:v>188</c:v>
                </c:pt>
                <c:pt idx="1">
                  <c:v>200</c:v>
                </c:pt>
                <c:pt idx="2">
                  <c:v>200</c:v>
                </c:pt>
                <c:pt idx="3">
                  <c:v>200</c:v>
                </c:pt>
                <c:pt idx="4">
                  <c:v>200</c:v>
                </c:pt>
                <c:pt idx="5">
                  <c:v>200</c:v>
                </c:pt>
                <c:pt idx="6">
                  <c:v>200</c:v>
                </c:pt>
                <c:pt idx="7">
                  <c:v>200</c:v>
                </c:pt>
                <c:pt idx="8">
                  <c:v>200</c:v>
                </c:pt>
                <c:pt idx="9">
                  <c:v>209</c:v>
                </c:pt>
                <c:pt idx="10">
                  <c:v>209</c:v>
                </c:pt>
                <c:pt idx="11">
                  <c:v>209</c:v>
                </c:pt>
                <c:pt idx="12">
                  <c:v>209</c:v>
                </c:pt>
                <c:pt idx="13">
                  <c:v>209</c:v>
                </c:pt>
                <c:pt idx="14">
                  <c:v>209</c:v>
                </c:pt>
                <c:pt idx="15">
                  <c:v>209</c:v>
                </c:pt>
                <c:pt idx="16">
                  <c:v>209</c:v>
                </c:pt>
                <c:pt idx="17">
                  <c:v>224</c:v>
                </c:pt>
                <c:pt idx="18">
                  <c:v>224</c:v>
                </c:pt>
                <c:pt idx="19">
                  <c:v>224</c:v>
                </c:pt>
                <c:pt idx="20">
                  <c:v>224</c:v>
                </c:pt>
                <c:pt idx="21">
                  <c:v>224</c:v>
                </c:pt>
                <c:pt idx="22">
                  <c:v>224</c:v>
                </c:pt>
                <c:pt idx="23">
                  <c:v>224</c:v>
                </c:pt>
                <c:pt idx="24">
                  <c:v>224</c:v>
                </c:pt>
                <c:pt idx="25">
                  <c:v>224</c:v>
                </c:pt>
                <c:pt idx="26">
                  <c:v>224</c:v>
                </c:pt>
                <c:pt idx="27">
                  <c:v>224</c:v>
                </c:pt>
                <c:pt idx="28">
                  <c:v>224</c:v>
                </c:pt>
                <c:pt idx="29">
                  <c:v>224</c:v>
                </c:pt>
                <c:pt idx="30">
                  <c:v>224</c:v>
                </c:pt>
                <c:pt idx="31">
                  <c:v>224</c:v>
                </c:pt>
                <c:pt idx="32">
                  <c:v>224</c:v>
                </c:pt>
              </c:numCache>
            </c:numRef>
          </c:xVal>
          <c:yVal>
            <c:numRef>
              <c:f>Graphs!$AA$101:$AA$133</c:f>
              <c:numCache>
                <c:formatCode>General</c:formatCode>
                <c:ptCount val="33"/>
                <c:pt idx="0">
                  <c:v>0</c:v>
                </c:pt>
                <c:pt idx="25">
                  <c:v>2.7945887064017656</c:v>
                </c:pt>
                <c:pt idx="26">
                  <c:v>2.5732283718820863</c:v>
                </c:pt>
                <c:pt idx="27">
                  <c:v>2.7160578013245029</c:v>
                </c:pt>
                <c:pt idx="28">
                  <c:v>3.2890372018140592</c:v>
                </c:pt>
              </c:numCache>
            </c:numRef>
          </c:yVal>
          <c:smooth val="0"/>
          <c:extLst>
            <c:ext xmlns:c16="http://schemas.microsoft.com/office/drawing/2014/chart" uri="{C3380CC4-5D6E-409C-BE32-E72D297353CC}">
              <c16:uniqueId val="{00000002-78D0-4E2F-99A9-C6DC5B15E992}"/>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Graphs!$X$101:$X$133</c:f>
              <c:numCache>
                <c:formatCode>General</c:formatCode>
                <c:ptCount val="33"/>
                <c:pt idx="0">
                  <c:v>188</c:v>
                </c:pt>
                <c:pt idx="1">
                  <c:v>200</c:v>
                </c:pt>
                <c:pt idx="2">
                  <c:v>200</c:v>
                </c:pt>
                <c:pt idx="3">
                  <c:v>200</c:v>
                </c:pt>
                <c:pt idx="4">
                  <c:v>200</c:v>
                </c:pt>
                <c:pt idx="5">
                  <c:v>200</c:v>
                </c:pt>
                <c:pt idx="6">
                  <c:v>200</c:v>
                </c:pt>
                <c:pt idx="7">
                  <c:v>200</c:v>
                </c:pt>
                <c:pt idx="8">
                  <c:v>200</c:v>
                </c:pt>
                <c:pt idx="9">
                  <c:v>209</c:v>
                </c:pt>
                <c:pt idx="10">
                  <c:v>209</c:v>
                </c:pt>
                <c:pt idx="11">
                  <c:v>209</c:v>
                </c:pt>
                <c:pt idx="12">
                  <c:v>209</c:v>
                </c:pt>
                <c:pt idx="13">
                  <c:v>209</c:v>
                </c:pt>
                <c:pt idx="14">
                  <c:v>209</c:v>
                </c:pt>
                <c:pt idx="15">
                  <c:v>209</c:v>
                </c:pt>
                <c:pt idx="16">
                  <c:v>209</c:v>
                </c:pt>
                <c:pt idx="17">
                  <c:v>224</c:v>
                </c:pt>
                <c:pt idx="18">
                  <c:v>224</c:v>
                </c:pt>
                <c:pt idx="19">
                  <c:v>224</c:v>
                </c:pt>
                <c:pt idx="20">
                  <c:v>224</c:v>
                </c:pt>
                <c:pt idx="21">
                  <c:v>224</c:v>
                </c:pt>
                <c:pt idx="22">
                  <c:v>224</c:v>
                </c:pt>
                <c:pt idx="23">
                  <c:v>224</c:v>
                </c:pt>
                <c:pt idx="24">
                  <c:v>224</c:v>
                </c:pt>
                <c:pt idx="25">
                  <c:v>224</c:v>
                </c:pt>
                <c:pt idx="26">
                  <c:v>224</c:v>
                </c:pt>
                <c:pt idx="27">
                  <c:v>224</c:v>
                </c:pt>
                <c:pt idx="28">
                  <c:v>224</c:v>
                </c:pt>
                <c:pt idx="29">
                  <c:v>224</c:v>
                </c:pt>
                <c:pt idx="30">
                  <c:v>224</c:v>
                </c:pt>
                <c:pt idx="31">
                  <c:v>224</c:v>
                </c:pt>
                <c:pt idx="32">
                  <c:v>224</c:v>
                </c:pt>
              </c:numCache>
            </c:numRef>
          </c:xVal>
          <c:yVal>
            <c:numRef>
              <c:f>Graphs!$AB$101:$AB$133</c:f>
              <c:numCache>
                <c:formatCode>General</c:formatCode>
                <c:ptCount val="33"/>
                <c:pt idx="0">
                  <c:v>0</c:v>
                </c:pt>
                <c:pt idx="29">
                  <c:v>2.7281983873873878</c:v>
                </c:pt>
                <c:pt idx="30">
                  <c:v>2.8750011552511419</c:v>
                </c:pt>
                <c:pt idx="31">
                  <c:v>2.8055568701298705</c:v>
                </c:pt>
                <c:pt idx="32">
                  <c:v>3.3778346931567325</c:v>
                </c:pt>
              </c:numCache>
            </c:numRef>
          </c:yVal>
          <c:smooth val="0"/>
          <c:extLst>
            <c:ext xmlns:c16="http://schemas.microsoft.com/office/drawing/2014/chart" uri="{C3380CC4-5D6E-409C-BE32-E72D297353CC}">
              <c16:uniqueId val="{00000003-78D0-4E2F-99A9-C6DC5B15E992}"/>
            </c:ext>
          </c:extLst>
        </c:ser>
        <c:dLbls>
          <c:showLegendKey val="0"/>
          <c:showVal val="0"/>
          <c:showCatName val="0"/>
          <c:showSerName val="0"/>
          <c:showPercent val="0"/>
          <c:showBubbleSize val="0"/>
        </c:dLbls>
        <c:axId val="1860272736"/>
        <c:axId val="1"/>
      </c:scatterChart>
      <c:valAx>
        <c:axId val="1860272736"/>
        <c:scaling>
          <c:orientation val="minMax"/>
        </c:scaling>
        <c:delete val="0"/>
        <c:axPos val="b"/>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5655171268148439"/>
              <c:y val="0.8021083497375327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6"/>
        </c:scaling>
        <c:delete val="0"/>
        <c:axPos val="l"/>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Leaf Area Index</a:t>
                </a:r>
              </a:p>
            </c:rich>
          </c:tx>
          <c:layout>
            <c:manualLayout>
              <c:xMode val="edge"/>
              <c:yMode val="edge"/>
              <c:x val="4.0085717133459584E-2"/>
              <c:y val="0.1510465879265091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72736"/>
        <c:crosses val="autoZero"/>
        <c:crossBetween val="midCat"/>
      </c:valAx>
      <c:spPr>
        <a:noFill/>
        <a:ln w="3175">
          <a:solidFill>
            <a:srgbClr val="000000"/>
          </a:solidFill>
          <a:prstDash val="solid"/>
        </a:ln>
      </c:spPr>
    </c:plotArea>
    <c:legend>
      <c:legendPos val="r"/>
      <c:layout>
        <c:manualLayout>
          <c:xMode val="edge"/>
          <c:yMode val="edge"/>
          <c:x val="0.1468402797191703"/>
          <c:y val="0.89352032853156349"/>
          <c:w val="0.78483597780935854"/>
          <c:h val="9.1718974120789637E-2"/>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965078186216191"/>
          <c:y val="0.10909437674743459"/>
          <c:w val="0.70023361141962082"/>
          <c:h val="0.53767942825521342"/>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Graphs!$X$183:$X$223</c:f>
              <c:numCache>
                <c:formatCode>General</c:formatCode>
                <c:ptCount val="41"/>
                <c:pt idx="0">
                  <c:v>225</c:v>
                </c:pt>
                <c:pt idx="1">
                  <c:v>237</c:v>
                </c:pt>
                <c:pt idx="2">
                  <c:v>237</c:v>
                </c:pt>
                <c:pt idx="3">
                  <c:v>237</c:v>
                </c:pt>
                <c:pt idx="4">
                  <c:v>237</c:v>
                </c:pt>
                <c:pt idx="5">
                  <c:v>237</c:v>
                </c:pt>
                <c:pt idx="6">
                  <c:v>237</c:v>
                </c:pt>
                <c:pt idx="7">
                  <c:v>237</c:v>
                </c:pt>
                <c:pt idx="8">
                  <c:v>237</c:v>
                </c:pt>
                <c:pt idx="9">
                  <c:v>251</c:v>
                </c:pt>
                <c:pt idx="10">
                  <c:v>251</c:v>
                </c:pt>
                <c:pt idx="11">
                  <c:v>251</c:v>
                </c:pt>
                <c:pt idx="12">
                  <c:v>251</c:v>
                </c:pt>
                <c:pt idx="13">
                  <c:v>251</c:v>
                </c:pt>
                <c:pt idx="14">
                  <c:v>251</c:v>
                </c:pt>
                <c:pt idx="15">
                  <c:v>251</c:v>
                </c:pt>
                <c:pt idx="16">
                  <c:v>251</c:v>
                </c:pt>
                <c:pt idx="17">
                  <c:v>265</c:v>
                </c:pt>
                <c:pt idx="18">
                  <c:v>265</c:v>
                </c:pt>
                <c:pt idx="19">
                  <c:v>265</c:v>
                </c:pt>
                <c:pt idx="20">
                  <c:v>265</c:v>
                </c:pt>
                <c:pt idx="21">
                  <c:v>265</c:v>
                </c:pt>
                <c:pt idx="22">
                  <c:v>265</c:v>
                </c:pt>
                <c:pt idx="23">
                  <c:v>265</c:v>
                </c:pt>
                <c:pt idx="24">
                  <c:v>265</c:v>
                </c:pt>
                <c:pt idx="25">
                  <c:v>277</c:v>
                </c:pt>
                <c:pt idx="26">
                  <c:v>277</c:v>
                </c:pt>
                <c:pt idx="27">
                  <c:v>277</c:v>
                </c:pt>
                <c:pt idx="28">
                  <c:v>277</c:v>
                </c:pt>
                <c:pt idx="29">
                  <c:v>277</c:v>
                </c:pt>
                <c:pt idx="30">
                  <c:v>277</c:v>
                </c:pt>
                <c:pt idx="31">
                  <c:v>277</c:v>
                </c:pt>
                <c:pt idx="32">
                  <c:v>277</c:v>
                </c:pt>
                <c:pt idx="33">
                  <c:v>278</c:v>
                </c:pt>
                <c:pt idx="34">
                  <c:v>278</c:v>
                </c:pt>
                <c:pt idx="35">
                  <c:v>278</c:v>
                </c:pt>
                <c:pt idx="36">
                  <c:v>278</c:v>
                </c:pt>
                <c:pt idx="37">
                  <c:v>278</c:v>
                </c:pt>
                <c:pt idx="38">
                  <c:v>278</c:v>
                </c:pt>
                <c:pt idx="39">
                  <c:v>278</c:v>
                </c:pt>
                <c:pt idx="40">
                  <c:v>278</c:v>
                </c:pt>
              </c:numCache>
            </c:numRef>
          </c:xVal>
          <c:yVal>
            <c:numRef>
              <c:f>Graphs!$Y$183:$Y$233</c:f>
              <c:numCache>
                <c:formatCode>General</c:formatCode>
                <c:ptCount val="51"/>
                <c:pt idx="0">
                  <c:v>0</c:v>
                </c:pt>
                <c:pt idx="1">
                  <c:v>1.0466474412171509</c:v>
                </c:pt>
                <c:pt idx="2">
                  <c:v>1.5175964673913045</c:v>
                </c:pt>
                <c:pt idx="3">
                  <c:v>1.4155824489795918</c:v>
                </c:pt>
                <c:pt idx="4">
                  <c:v>1.7121155680224405</c:v>
                </c:pt>
                <c:pt idx="9">
                  <c:v>3.0155569845094661</c:v>
                </c:pt>
                <c:pt idx="10">
                  <c:v>2.8944674999999997</c:v>
                </c:pt>
                <c:pt idx="11">
                  <c:v>3.4366336825141022</c:v>
                </c:pt>
                <c:pt idx="12">
                  <c:v>3.4008555118110233</c:v>
                </c:pt>
                <c:pt idx="17">
                  <c:v>3.3241249336870022</c:v>
                </c:pt>
                <c:pt idx="18">
                  <c:v>3.5219254980079686</c:v>
                </c:pt>
                <c:pt idx="19">
                  <c:v>3.6101842876165122</c:v>
                </c:pt>
                <c:pt idx="20">
                  <c:v>3.5418757133377579</c:v>
                </c:pt>
                <c:pt idx="25">
                  <c:v>3.1357433887043191</c:v>
                </c:pt>
                <c:pt idx="26">
                  <c:v>3.2287282321899737</c:v>
                </c:pt>
                <c:pt idx="27">
                  <c:v>3.2281894876912838</c:v>
                </c:pt>
                <c:pt idx="28">
                  <c:v>2.9032429795649306</c:v>
                </c:pt>
              </c:numCache>
            </c:numRef>
          </c:yVal>
          <c:smooth val="0"/>
          <c:extLst>
            <c:ext xmlns:c16="http://schemas.microsoft.com/office/drawing/2014/chart" uri="{C3380CC4-5D6E-409C-BE32-E72D297353CC}">
              <c16:uniqueId val="{00000000-C698-44D2-83A7-4C9B59A9339C}"/>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xVal>
            <c:numRef>
              <c:f>Graphs!$X$183:$X$223</c:f>
              <c:numCache>
                <c:formatCode>General</c:formatCode>
                <c:ptCount val="41"/>
                <c:pt idx="0">
                  <c:v>225</c:v>
                </c:pt>
                <c:pt idx="1">
                  <c:v>237</c:v>
                </c:pt>
                <c:pt idx="2">
                  <c:v>237</c:v>
                </c:pt>
                <c:pt idx="3">
                  <c:v>237</c:v>
                </c:pt>
                <c:pt idx="4">
                  <c:v>237</c:v>
                </c:pt>
                <c:pt idx="5">
                  <c:v>237</c:v>
                </c:pt>
                <c:pt idx="6">
                  <c:v>237</c:v>
                </c:pt>
                <c:pt idx="7">
                  <c:v>237</c:v>
                </c:pt>
                <c:pt idx="8">
                  <c:v>237</c:v>
                </c:pt>
                <c:pt idx="9">
                  <c:v>251</c:v>
                </c:pt>
                <c:pt idx="10">
                  <c:v>251</c:v>
                </c:pt>
                <c:pt idx="11">
                  <c:v>251</c:v>
                </c:pt>
                <c:pt idx="12">
                  <c:v>251</c:v>
                </c:pt>
                <c:pt idx="13">
                  <c:v>251</c:v>
                </c:pt>
                <c:pt idx="14">
                  <c:v>251</c:v>
                </c:pt>
                <c:pt idx="15">
                  <c:v>251</c:v>
                </c:pt>
                <c:pt idx="16">
                  <c:v>251</c:v>
                </c:pt>
                <c:pt idx="17">
                  <c:v>265</c:v>
                </c:pt>
                <c:pt idx="18">
                  <c:v>265</c:v>
                </c:pt>
                <c:pt idx="19">
                  <c:v>265</c:v>
                </c:pt>
                <c:pt idx="20">
                  <c:v>265</c:v>
                </c:pt>
                <c:pt idx="21">
                  <c:v>265</c:v>
                </c:pt>
                <c:pt idx="22">
                  <c:v>265</c:v>
                </c:pt>
                <c:pt idx="23">
                  <c:v>265</c:v>
                </c:pt>
                <c:pt idx="24">
                  <c:v>265</c:v>
                </c:pt>
                <c:pt idx="25">
                  <c:v>277</c:v>
                </c:pt>
                <c:pt idx="26">
                  <c:v>277</c:v>
                </c:pt>
                <c:pt idx="27">
                  <c:v>277</c:v>
                </c:pt>
                <c:pt idx="28">
                  <c:v>277</c:v>
                </c:pt>
                <c:pt idx="29">
                  <c:v>277</c:v>
                </c:pt>
                <c:pt idx="30">
                  <c:v>277</c:v>
                </c:pt>
                <c:pt idx="31">
                  <c:v>277</c:v>
                </c:pt>
                <c:pt idx="32">
                  <c:v>277</c:v>
                </c:pt>
                <c:pt idx="33">
                  <c:v>278</c:v>
                </c:pt>
                <c:pt idx="34">
                  <c:v>278</c:v>
                </c:pt>
                <c:pt idx="35">
                  <c:v>278</c:v>
                </c:pt>
                <c:pt idx="36">
                  <c:v>278</c:v>
                </c:pt>
                <c:pt idx="37">
                  <c:v>278</c:v>
                </c:pt>
                <c:pt idx="38">
                  <c:v>278</c:v>
                </c:pt>
                <c:pt idx="39">
                  <c:v>278</c:v>
                </c:pt>
                <c:pt idx="40">
                  <c:v>278</c:v>
                </c:pt>
              </c:numCache>
            </c:numRef>
          </c:xVal>
          <c:yVal>
            <c:numRef>
              <c:f>Graphs!$Z$183:$Z$233</c:f>
              <c:numCache>
                <c:formatCode>General</c:formatCode>
                <c:ptCount val="51"/>
                <c:pt idx="0">
                  <c:v>0</c:v>
                </c:pt>
                <c:pt idx="5">
                  <c:v>1.7413428251057828</c:v>
                </c:pt>
                <c:pt idx="6">
                  <c:v>1.0796200848656294</c:v>
                </c:pt>
                <c:pt idx="7">
                  <c:v>1.2113572433192688</c:v>
                </c:pt>
                <c:pt idx="8">
                  <c:v>1.4907736770691995</c:v>
                </c:pt>
                <c:pt idx="13">
                  <c:v>3.9934224151539071</c:v>
                </c:pt>
                <c:pt idx="14">
                  <c:v>4.0971085139318895</c:v>
                </c:pt>
                <c:pt idx="15">
                  <c:v>4.1167541925465834</c:v>
                </c:pt>
                <c:pt idx="16">
                  <c:v>5.2622000788022056</c:v>
                </c:pt>
                <c:pt idx="21">
                  <c:v>4.3059069953364428</c:v>
                </c:pt>
                <c:pt idx="22">
                  <c:v>4.8028237433862433</c:v>
                </c:pt>
                <c:pt idx="23">
                  <c:v>3.7623323005932767</c:v>
                </c:pt>
                <c:pt idx="24">
                  <c:v>4.0249607999999997</c:v>
                </c:pt>
                <c:pt idx="29">
                  <c:v>4.0708154050464804</c:v>
                </c:pt>
                <c:pt idx="30">
                  <c:v>3.977525357607282</c:v>
                </c:pt>
                <c:pt idx="31">
                  <c:v>4.124360196078432</c:v>
                </c:pt>
                <c:pt idx="32">
                  <c:v>4.5812622841965469</c:v>
                </c:pt>
              </c:numCache>
            </c:numRef>
          </c:yVal>
          <c:smooth val="0"/>
          <c:extLst>
            <c:ext xmlns:c16="http://schemas.microsoft.com/office/drawing/2014/chart" uri="{C3380CC4-5D6E-409C-BE32-E72D297353CC}">
              <c16:uniqueId val="{00000001-C698-44D2-83A7-4C9B59A9339C}"/>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Graphs!$X$183:$X$223</c:f>
              <c:numCache>
                <c:formatCode>General</c:formatCode>
                <c:ptCount val="41"/>
                <c:pt idx="0">
                  <c:v>225</c:v>
                </c:pt>
                <c:pt idx="1">
                  <c:v>237</c:v>
                </c:pt>
                <c:pt idx="2">
                  <c:v>237</c:v>
                </c:pt>
                <c:pt idx="3">
                  <c:v>237</c:v>
                </c:pt>
                <c:pt idx="4">
                  <c:v>237</c:v>
                </c:pt>
                <c:pt idx="5">
                  <c:v>237</c:v>
                </c:pt>
                <c:pt idx="6">
                  <c:v>237</c:v>
                </c:pt>
                <c:pt idx="7">
                  <c:v>237</c:v>
                </c:pt>
                <c:pt idx="8">
                  <c:v>237</c:v>
                </c:pt>
                <c:pt idx="9">
                  <c:v>251</c:v>
                </c:pt>
                <c:pt idx="10">
                  <c:v>251</c:v>
                </c:pt>
                <c:pt idx="11">
                  <c:v>251</c:v>
                </c:pt>
                <c:pt idx="12">
                  <c:v>251</c:v>
                </c:pt>
                <c:pt idx="13">
                  <c:v>251</c:v>
                </c:pt>
                <c:pt idx="14">
                  <c:v>251</c:v>
                </c:pt>
                <c:pt idx="15">
                  <c:v>251</c:v>
                </c:pt>
                <c:pt idx="16">
                  <c:v>251</c:v>
                </c:pt>
                <c:pt idx="17">
                  <c:v>265</c:v>
                </c:pt>
                <c:pt idx="18">
                  <c:v>265</c:v>
                </c:pt>
                <c:pt idx="19">
                  <c:v>265</c:v>
                </c:pt>
                <c:pt idx="20">
                  <c:v>265</c:v>
                </c:pt>
                <c:pt idx="21">
                  <c:v>265</c:v>
                </c:pt>
                <c:pt idx="22">
                  <c:v>265</c:v>
                </c:pt>
                <c:pt idx="23">
                  <c:v>265</c:v>
                </c:pt>
                <c:pt idx="24">
                  <c:v>265</c:v>
                </c:pt>
                <c:pt idx="25">
                  <c:v>277</c:v>
                </c:pt>
                <c:pt idx="26">
                  <c:v>277</c:v>
                </c:pt>
                <c:pt idx="27">
                  <c:v>277</c:v>
                </c:pt>
                <c:pt idx="28">
                  <c:v>277</c:v>
                </c:pt>
                <c:pt idx="29">
                  <c:v>277</c:v>
                </c:pt>
                <c:pt idx="30">
                  <c:v>277</c:v>
                </c:pt>
                <c:pt idx="31">
                  <c:v>277</c:v>
                </c:pt>
                <c:pt idx="32">
                  <c:v>277</c:v>
                </c:pt>
                <c:pt idx="33">
                  <c:v>278</c:v>
                </c:pt>
                <c:pt idx="34">
                  <c:v>278</c:v>
                </c:pt>
                <c:pt idx="35">
                  <c:v>278</c:v>
                </c:pt>
                <c:pt idx="36">
                  <c:v>278</c:v>
                </c:pt>
                <c:pt idx="37">
                  <c:v>278</c:v>
                </c:pt>
                <c:pt idx="38">
                  <c:v>278</c:v>
                </c:pt>
                <c:pt idx="39">
                  <c:v>278</c:v>
                </c:pt>
                <c:pt idx="40">
                  <c:v>278</c:v>
                </c:pt>
              </c:numCache>
            </c:numRef>
          </c:xVal>
          <c:yVal>
            <c:numRef>
              <c:f>Graphs!$AA$183:$AA$233</c:f>
              <c:numCache>
                <c:formatCode>General</c:formatCode>
                <c:ptCount val="51"/>
                <c:pt idx="0">
                  <c:v>0</c:v>
                </c:pt>
                <c:pt idx="33">
                  <c:v>3.1601978086624016</c:v>
                </c:pt>
                <c:pt idx="34">
                  <c:v>2.8861268585658832</c:v>
                </c:pt>
                <c:pt idx="35">
                  <c:v>3.0487962962962958</c:v>
                </c:pt>
                <c:pt idx="36">
                  <c:v>2.8661380225613802</c:v>
                </c:pt>
              </c:numCache>
            </c:numRef>
          </c:yVal>
          <c:smooth val="0"/>
          <c:extLst>
            <c:ext xmlns:c16="http://schemas.microsoft.com/office/drawing/2014/chart" uri="{C3380CC4-5D6E-409C-BE32-E72D297353CC}">
              <c16:uniqueId val="{00000002-C698-44D2-83A7-4C9B59A9339C}"/>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Graphs!$X$183:$X$223</c:f>
              <c:numCache>
                <c:formatCode>General</c:formatCode>
                <c:ptCount val="41"/>
                <c:pt idx="0">
                  <c:v>225</c:v>
                </c:pt>
                <c:pt idx="1">
                  <c:v>237</c:v>
                </c:pt>
                <c:pt idx="2">
                  <c:v>237</c:v>
                </c:pt>
                <c:pt idx="3">
                  <c:v>237</c:v>
                </c:pt>
                <c:pt idx="4">
                  <c:v>237</c:v>
                </c:pt>
                <c:pt idx="5">
                  <c:v>237</c:v>
                </c:pt>
                <c:pt idx="6">
                  <c:v>237</c:v>
                </c:pt>
                <c:pt idx="7">
                  <c:v>237</c:v>
                </c:pt>
                <c:pt idx="8">
                  <c:v>237</c:v>
                </c:pt>
                <c:pt idx="9">
                  <c:v>251</c:v>
                </c:pt>
                <c:pt idx="10">
                  <c:v>251</c:v>
                </c:pt>
                <c:pt idx="11">
                  <c:v>251</c:v>
                </c:pt>
                <c:pt idx="12">
                  <c:v>251</c:v>
                </c:pt>
                <c:pt idx="13">
                  <c:v>251</c:v>
                </c:pt>
                <c:pt idx="14">
                  <c:v>251</c:v>
                </c:pt>
                <c:pt idx="15">
                  <c:v>251</c:v>
                </c:pt>
                <c:pt idx="16">
                  <c:v>251</c:v>
                </c:pt>
                <c:pt idx="17">
                  <c:v>265</c:v>
                </c:pt>
                <c:pt idx="18">
                  <c:v>265</c:v>
                </c:pt>
                <c:pt idx="19">
                  <c:v>265</c:v>
                </c:pt>
                <c:pt idx="20">
                  <c:v>265</c:v>
                </c:pt>
                <c:pt idx="21">
                  <c:v>265</c:v>
                </c:pt>
                <c:pt idx="22">
                  <c:v>265</c:v>
                </c:pt>
                <c:pt idx="23">
                  <c:v>265</c:v>
                </c:pt>
                <c:pt idx="24">
                  <c:v>265</c:v>
                </c:pt>
                <c:pt idx="25">
                  <c:v>277</c:v>
                </c:pt>
                <c:pt idx="26">
                  <c:v>277</c:v>
                </c:pt>
                <c:pt idx="27">
                  <c:v>277</c:v>
                </c:pt>
                <c:pt idx="28">
                  <c:v>277</c:v>
                </c:pt>
                <c:pt idx="29">
                  <c:v>277</c:v>
                </c:pt>
                <c:pt idx="30">
                  <c:v>277</c:v>
                </c:pt>
                <c:pt idx="31">
                  <c:v>277</c:v>
                </c:pt>
                <c:pt idx="32">
                  <c:v>277</c:v>
                </c:pt>
                <c:pt idx="33">
                  <c:v>278</c:v>
                </c:pt>
                <c:pt idx="34">
                  <c:v>278</c:v>
                </c:pt>
                <c:pt idx="35">
                  <c:v>278</c:v>
                </c:pt>
                <c:pt idx="36">
                  <c:v>278</c:v>
                </c:pt>
                <c:pt idx="37">
                  <c:v>278</c:v>
                </c:pt>
                <c:pt idx="38">
                  <c:v>278</c:v>
                </c:pt>
                <c:pt idx="39">
                  <c:v>278</c:v>
                </c:pt>
                <c:pt idx="40">
                  <c:v>278</c:v>
                </c:pt>
              </c:numCache>
            </c:numRef>
          </c:xVal>
          <c:yVal>
            <c:numRef>
              <c:f>Graphs!$AB$183:$AB$233</c:f>
              <c:numCache>
                <c:formatCode>General</c:formatCode>
                <c:ptCount val="51"/>
                <c:pt idx="0">
                  <c:v>0</c:v>
                </c:pt>
                <c:pt idx="37">
                  <c:v>2.9023426597582036</c:v>
                </c:pt>
                <c:pt idx="38">
                  <c:v>2.9671646636185502</c:v>
                </c:pt>
                <c:pt idx="39">
                  <c:v>2.8292966401414672</c:v>
                </c:pt>
                <c:pt idx="40">
                  <c:v>2.7750700617283952</c:v>
                </c:pt>
              </c:numCache>
            </c:numRef>
          </c:yVal>
          <c:smooth val="0"/>
          <c:extLst>
            <c:ext xmlns:c16="http://schemas.microsoft.com/office/drawing/2014/chart" uri="{C3380CC4-5D6E-409C-BE32-E72D297353CC}">
              <c16:uniqueId val="{00000003-C698-44D2-83A7-4C9B59A9339C}"/>
            </c:ext>
          </c:extLst>
        </c:ser>
        <c:dLbls>
          <c:showLegendKey val="0"/>
          <c:showVal val="0"/>
          <c:showCatName val="0"/>
          <c:showSerName val="0"/>
          <c:showPercent val="0"/>
          <c:showBubbleSize val="0"/>
        </c:dLbls>
        <c:axId val="1860223232"/>
        <c:axId val="1"/>
      </c:scatterChart>
      <c:valAx>
        <c:axId val="1860223232"/>
        <c:scaling>
          <c:orientation val="minMax"/>
          <c:min val="200"/>
        </c:scaling>
        <c:delete val="0"/>
        <c:axPos val="b"/>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5850278149193615"/>
              <c:y val="0.80002536046630524"/>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majorGridlines>
          <c:spPr>
            <a:ln w="3175">
              <a:solidFill>
                <a:srgbClr val="000000"/>
              </a:solidFill>
              <a:prstDash val="solid"/>
            </a:ln>
          </c:spPr>
        </c:majorGridlines>
        <c:title>
          <c:tx>
            <c:rich>
              <a:bodyPr/>
              <a:lstStyle/>
              <a:p>
                <a:pPr>
                  <a:defRPr sz="1200" b="0" i="0" u="none" strike="noStrike" baseline="0">
                    <a:solidFill>
                      <a:srgbClr val="000000"/>
                    </a:solidFill>
                    <a:latin typeface="Arial"/>
                    <a:ea typeface="Arial"/>
                    <a:cs typeface="Arial"/>
                  </a:defRPr>
                </a:pPr>
                <a:r>
                  <a:rPr lang="en-US"/>
                  <a:t>Leaf Area Index</a:t>
                </a:r>
              </a:p>
            </c:rich>
          </c:tx>
          <c:layout>
            <c:manualLayout>
              <c:xMode val="edge"/>
              <c:yMode val="edge"/>
              <c:x val="4.1930041763647473E-2"/>
              <c:y val="0.1506542591267000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23232"/>
        <c:crosses val="autoZero"/>
        <c:crossBetween val="midCat"/>
      </c:valAx>
      <c:spPr>
        <a:noFill/>
        <a:ln w="3175">
          <a:solidFill>
            <a:srgbClr val="000000"/>
          </a:solidFill>
          <a:prstDash val="solid"/>
        </a:ln>
      </c:spPr>
    </c:plotArea>
    <c:legend>
      <c:legendPos val="r"/>
      <c:layout>
        <c:manualLayout>
          <c:xMode val="edge"/>
          <c:yMode val="edge"/>
          <c:x val="0.151138650013939"/>
          <c:y val="0.89383508183574656"/>
          <c:w val="0.78088302507201823"/>
          <c:h val="9.1448473719168796E-2"/>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7901323042078"/>
          <c:y val="9.1109131415503031E-2"/>
          <c:w val="0.7116026296619401"/>
          <c:h val="0.45337639204381269"/>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Graphs!$AH$8:$AH$9</c:f>
              <c:numCache>
                <c:formatCode>General</c:formatCode>
                <c:ptCount val="2"/>
                <c:pt idx="0">
                  <c:v>131</c:v>
                </c:pt>
                <c:pt idx="1">
                  <c:v>153</c:v>
                </c:pt>
              </c:numCache>
            </c:numRef>
          </c:xVal>
          <c:yVal>
            <c:numRef>
              <c:f>Graphs!$AI$8:$AI$9</c:f>
              <c:numCache>
                <c:formatCode>General</c:formatCode>
                <c:ptCount val="2"/>
                <c:pt idx="0">
                  <c:v>34.9</c:v>
                </c:pt>
                <c:pt idx="1">
                  <c:v>63.8</c:v>
                </c:pt>
              </c:numCache>
            </c:numRef>
          </c:yVal>
          <c:smooth val="0"/>
          <c:extLst>
            <c:ext xmlns:c16="http://schemas.microsoft.com/office/drawing/2014/chart" uri="{C3380CC4-5D6E-409C-BE32-E72D297353CC}">
              <c16:uniqueId val="{00000000-AF7B-4F99-AF97-B284D1269CB1}"/>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trendline>
            <c:spPr>
              <a:ln w="25400">
                <a:solidFill>
                  <a:srgbClr val="000000"/>
                </a:solidFill>
                <a:prstDash val="solid"/>
              </a:ln>
            </c:spPr>
            <c:trendlineType val="linear"/>
            <c:dispRSqr val="1"/>
            <c:dispEq val="1"/>
            <c:trendlineLbl>
              <c:layout>
                <c:manualLayout>
                  <c:x val="3.669328923143883E-2"/>
                  <c:y val="-3.4707321002429736E-2"/>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en-US"/>
                </a:p>
              </c:txPr>
            </c:trendlineLbl>
          </c:trendline>
          <c:xVal>
            <c:numRef>
              <c:f>Graphs!$AH$8:$AH$9</c:f>
              <c:numCache>
                <c:formatCode>General</c:formatCode>
                <c:ptCount val="2"/>
                <c:pt idx="0">
                  <c:v>131</c:v>
                </c:pt>
                <c:pt idx="1">
                  <c:v>153</c:v>
                </c:pt>
              </c:numCache>
            </c:numRef>
          </c:xVal>
          <c:yVal>
            <c:numRef>
              <c:f>Graphs!$AJ$8:$AJ$9</c:f>
              <c:numCache>
                <c:formatCode>General</c:formatCode>
                <c:ptCount val="2"/>
                <c:pt idx="0">
                  <c:v>33.35</c:v>
                </c:pt>
                <c:pt idx="1">
                  <c:v>68.300000000000011</c:v>
                </c:pt>
              </c:numCache>
            </c:numRef>
          </c:yVal>
          <c:smooth val="0"/>
          <c:extLst>
            <c:ext xmlns:c16="http://schemas.microsoft.com/office/drawing/2014/chart" uri="{C3380CC4-5D6E-409C-BE32-E72D297353CC}">
              <c16:uniqueId val="{00000002-AF7B-4F99-AF97-B284D1269CB1}"/>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Graphs!$AH$8:$AH$9</c:f>
              <c:numCache>
                <c:formatCode>General</c:formatCode>
                <c:ptCount val="2"/>
                <c:pt idx="0">
                  <c:v>131</c:v>
                </c:pt>
                <c:pt idx="1">
                  <c:v>153</c:v>
                </c:pt>
              </c:numCache>
            </c:numRef>
          </c:xVal>
          <c:yVal>
            <c:numRef>
              <c:f>Graphs!$AK$8:$AK$9</c:f>
              <c:numCache>
                <c:formatCode>General</c:formatCode>
                <c:ptCount val="2"/>
                <c:pt idx="0">
                  <c:v>26</c:v>
                </c:pt>
                <c:pt idx="1">
                  <c:v>63.8</c:v>
                </c:pt>
              </c:numCache>
            </c:numRef>
          </c:yVal>
          <c:smooth val="0"/>
          <c:extLst>
            <c:ext xmlns:c16="http://schemas.microsoft.com/office/drawing/2014/chart" uri="{C3380CC4-5D6E-409C-BE32-E72D297353CC}">
              <c16:uniqueId val="{00000003-AF7B-4F99-AF97-B284D1269CB1}"/>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Graphs!$AH$8:$AH$9</c:f>
              <c:numCache>
                <c:formatCode>General</c:formatCode>
                <c:ptCount val="2"/>
                <c:pt idx="0">
                  <c:v>131</c:v>
                </c:pt>
                <c:pt idx="1">
                  <c:v>153</c:v>
                </c:pt>
              </c:numCache>
            </c:numRef>
          </c:xVal>
          <c:yVal>
            <c:numRef>
              <c:f>Graphs!$AL$8:$AL$9</c:f>
              <c:numCache>
                <c:formatCode>General</c:formatCode>
                <c:ptCount val="2"/>
                <c:pt idx="0">
                  <c:v>30</c:v>
                </c:pt>
                <c:pt idx="1">
                  <c:v>67.8</c:v>
                </c:pt>
              </c:numCache>
            </c:numRef>
          </c:yVal>
          <c:smooth val="0"/>
          <c:extLst>
            <c:ext xmlns:c16="http://schemas.microsoft.com/office/drawing/2014/chart" uri="{C3380CC4-5D6E-409C-BE32-E72D297353CC}">
              <c16:uniqueId val="{00000004-AF7B-4F99-AF97-B284D1269CB1}"/>
            </c:ext>
          </c:extLst>
        </c:ser>
        <c:dLbls>
          <c:showLegendKey val="0"/>
          <c:showVal val="0"/>
          <c:showCatName val="0"/>
          <c:showSerName val="0"/>
          <c:showPercent val="0"/>
          <c:showBubbleSize val="0"/>
        </c:dLbls>
        <c:axId val="1860229888"/>
        <c:axId val="1"/>
      </c:scatterChart>
      <c:valAx>
        <c:axId val="1860229888"/>
        <c:scaling>
          <c:orientation val="minMax"/>
          <c:min val="50"/>
        </c:scaling>
        <c:delete val="0"/>
        <c:axPos val="b"/>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5159055118110233"/>
              <c:y val="0.6724720310178147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title>
          <c:tx>
            <c:rich>
              <a:bodyPr/>
              <a:lstStyle/>
              <a:p>
                <a:pPr>
                  <a:defRPr sz="1200" b="0" i="0" u="none" strike="noStrike" baseline="0">
                    <a:solidFill>
                      <a:srgbClr val="000000"/>
                    </a:solidFill>
                    <a:latin typeface="Arial"/>
                    <a:ea typeface="Arial"/>
                    <a:cs typeface="Arial"/>
                  </a:defRPr>
                </a:pPr>
                <a:r>
                  <a:rPr lang="en-US"/>
                  <a:t>Plant height (cm)</a:t>
                </a:r>
              </a:p>
            </c:rich>
          </c:tx>
          <c:layout>
            <c:manualLayout>
              <c:xMode val="edge"/>
              <c:yMode val="edge"/>
              <c:x val="1.6842768338168255E-2"/>
              <c:y val="0.1279867456914957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29888"/>
        <c:crosses val="autoZero"/>
        <c:crossBetween val="midCat"/>
      </c:valAx>
      <c:spPr>
        <a:noFill/>
        <a:ln w="3175">
          <a:solidFill>
            <a:srgbClr val="000000"/>
          </a:solidFill>
          <a:prstDash val="solid"/>
        </a:ln>
      </c:spPr>
    </c:plotArea>
    <c:legend>
      <c:legendPos val="r"/>
      <c:layout>
        <c:manualLayout>
          <c:xMode val="edge"/>
          <c:yMode val="edge"/>
          <c:x val="2.777870936294384E-2"/>
          <c:y val="0.77835204564485128"/>
          <c:w val="0.95457746719934289"/>
          <c:h val="0.2069037083359731"/>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748566410769838"/>
          <c:y val="9.1109131415503031E-2"/>
          <c:w val="0.71220893757989101"/>
          <c:h val="0.44686859694270531"/>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Graphs!$AH$11:$AH$12</c:f>
              <c:numCache>
                <c:formatCode>General</c:formatCode>
                <c:ptCount val="2"/>
                <c:pt idx="0">
                  <c:v>173</c:v>
                </c:pt>
                <c:pt idx="1">
                  <c:v>187</c:v>
                </c:pt>
              </c:numCache>
            </c:numRef>
          </c:xVal>
          <c:yVal>
            <c:numRef>
              <c:f>Graphs!$AI$11:$AI$12</c:f>
              <c:numCache>
                <c:formatCode>General</c:formatCode>
                <c:ptCount val="2"/>
                <c:pt idx="0">
                  <c:v>45.099999999999994</c:v>
                </c:pt>
                <c:pt idx="1">
                  <c:v>68.2</c:v>
                </c:pt>
              </c:numCache>
            </c:numRef>
          </c:yVal>
          <c:smooth val="0"/>
          <c:extLst>
            <c:ext xmlns:c16="http://schemas.microsoft.com/office/drawing/2014/chart" uri="{C3380CC4-5D6E-409C-BE32-E72D297353CC}">
              <c16:uniqueId val="{00000000-C0A4-4576-8D02-64699AA8FB3E}"/>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trendline>
            <c:spPr>
              <a:ln w="25400">
                <a:solidFill>
                  <a:srgbClr val="000000"/>
                </a:solidFill>
                <a:prstDash val="solid"/>
              </a:ln>
            </c:spPr>
            <c:trendlineType val="linear"/>
            <c:dispRSqr val="1"/>
            <c:dispEq val="1"/>
            <c:trendlineLbl>
              <c:layout>
                <c:manualLayout>
                  <c:x val="0.1373402929833325"/>
                  <c:y val="0.21258889283964991"/>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en-US"/>
                </a:p>
              </c:txPr>
            </c:trendlineLbl>
          </c:trendline>
          <c:xVal>
            <c:numRef>
              <c:f>Graphs!$AH$11:$AH$12</c:f>
              <c:numCache>
                <c:formatCode>General</c:formatCode>
                <c:ptCount val="2"/>
                <c:pt idx="0">
                  <c:v>173</c:v>
                </c:pt>
                <c:pt idx="1">
                  <c:v>187</c:v>
                </c:pt>
              </c:numCache>
            </c:numRef>
          </c:xVal>
          <c:yVal>
            <c:numRef>
              <c:f>Graphs!$AJ$11:$AJ$12</c:f>
              <c:numCache>
                <c:formatCode>General</c:formatCode>
                <c:ptCount val="2"/>
                <c:pt idx="0">
                  <c:v>41.2</c:v>
                </c:pt>
                <c:pt idx="1">
                  <c:v>69.149999999999991</c:v>
                </c:pt>
              </c:numCache>
            </c:numRef>
          </c:yVal>
          <c:smooth val="0"/>
          <c:extLst>
            <c:ext xmlns:c16="http://schemas.microsoft.com/office/drawing/2014/chart" uri="{C3380CC4-5D6E-409C-BE32-E72D297353CC}">
              <c16:uniqueId val="{00000002-C0A4-4576-8D02-64699AA8FB3E}"/>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Graphs!$AH$11:$AH$12</c:f>
              <c:numCache>
                <c:formatCode>General</c:formatCode>
                <c:ptCount val="2"/>
                <c:pt idx="0">
                  <c:v>173</c:v>
                </c:pt>
                <c:pt idx="1">
                  <c:v>187</c:v>
                </c:pt>
              </c:numCache>
            </c:numRef>
          </c:xVal>
          <c:yVal>
            <c:numRef>
              <c:f>Graphs!$AK$11:$AK$12</c:f>
              <c:numCache>
                <c:formatCode>General</c:formatCode>
                <c:ptCount val="2"/>
                <c:pt idx="0">
                  <c:v>44.6</c:v>
                </c:pt>
                <c:pt idx="1">
                  <c:v>73.2</c:v>
                </c:pt>
              </c:numCache>
            </c:numRef>
          </c:yVal>
          <c:smooth val="0"/>
          <c:extLst>
            <c:ext xmlns:c16="http://schemas.microsoft.com/office/drawing/2014/chart" uri="{C3380CC4-5D6E-409C-BE32-E72D297353CC}">
              <c16:uniqueId val="{00000003-C0A4-4576-8D02-64699AA8FB3E}"/>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Graphs!$AH$11:$AH$12</c:f>
              <c:numCache>
                <c:formatCode>General</c:formatCode>
                <c:ptCount val="2"/>
                <c:pt idx="0">
                  <c:v>173</c:v>
                </c:pt>
                <c:pt idx="1">
                  <c:v>187</c:v>
                </c:pt>
              </c:numCache>
            </c:numRef>
          </c:xVal>
          <c:yVal>
            <c:numRef>
              <c:f>Graphs!$AL$11:$AL$12</c:f>
              <c:numCache>
                <c:formatCode>General</c:formatCode>
                <c:ptCount val="2"/>
                <c:pt idx="0">
                  <c:v>46</c:v>
                </c:pt>
                <c:pt idx="1">
                  <c:v>72.599999999999994</c:v>
                </c:pt>
              </c:numCache>
            </c:numRef>
          </c:yVal>
          <c:smooth val="0"/>
          <c:extLst>
            <c:ext xmlns:c16="http://schemas.microsoft.com/office/drawing/2014/chart" uri="{C3380CC4-5D6E-409C-BE32-E72D297353CC}">
              <c16:uniqueId val="{00000004-C0A4-4576-8D02-64699AA8FB3E}"/>
            </c:ext>
          </c:extLst>
        </c:ser>
        <c:dLbls>
          <c:showLegendKey val="0"/>
          <c:showVal val="0"/>
          <c:showCatName val="0"/>
          <c:showSerName val="0"/>
          <c:showPercent val="0"/>
          <c:showBubbleSize val="0"/>
        </c:dLbls>
        <c:axId val="1860228640"/>
        <c:axId val="1"/>
      </c:scatterChart>
      <c:valAx>
        <c:axId val="1860228640"/>
        <c:scaling>
          <c:orientation val="minMax"/>
        </c:scaling>
        <c:delete val="0"/>
        <c:axPos val="b"/>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5085224641037521"/>
              <c:y val="0.6659644388269253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title>
          <c:tx>
            <c:rich>
              <a:bodyPr/>
              <a:lstStyle/>
              <a:p>
                <a:pPr>
                  <a:defRPr sz="1200" b="0" i="0" u="none" strike="noStrike" baseline="0">
                    <a:solidFill>
                      <a:srgbClr val="000000"/>
                    </a:solidFill>
                    <a:latin typeface="Arial"/>
                    <a:ea typeface="Arial"/>
                    <a:cs typeface="Arial"/>
                  </a:defRPr>
                </a:pPr>
                <a:r>
                  <a:rPr lang="en-US"/>
                  <a:t>Plant height</a:t>
                </a:r>
                <a:r>
                  <a:rPr lang="en-US" baseline="0"/>
                  <a:t> (cm)</a:t>
                </a:r>
                <a:endParaRPr lang="en-US"/>
              </a:p>
            </c:rich>
          </c:tx>
          <c:layout>
            <c:manualLayout>
              <c:xMode val="edge"/>
              <c:yMode val="edge"/>
              <c:x val="1.6807384371071266E-2"/>
              <c:y val="0.125817206688643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28640"/>
        <c:crosses val="autoZero"/>
        <c:crossBetween val="midCat"/>
      </c:valAx>
      <c:spPr>
        <a:noFill/>
        <a:ln w="3175">
          <a:solidFill>
            <a:srgbClr val="000000"/>
          </a:solidFill>
          <a:prstDash val="solid"/>
        </a:ln>
      </c:spPr>
    </c:plotArea>
    <c:legend>
      <c:legendPos val="r"/>
      <c:layout>
        <c:manualLayout>
          <c:xMode val="edge"/>
          <c:yMode val="edge"/>
          <c:x val="0.16373353751510059"/>
          <c:y val="0.76357320933513873"/>
          <c:w val="0.7380604075680689"/>
          <c:h val="0.22414568403063753"/>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665954990755025"/>
          <c:y val="8.4851330635694458E-2"/>
          <c:w val="0.71341389913270881"/>
          <c:h val="0.50910798381416678"/>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Graphs!$AH$14:$AH$16</c:f>
              <c:numCache>
                <c:formatCode>General</c:formatCode>
                <c:ptCount val="3"/>
                <c:pt idx="0">
                  <c:v>200</c:v>
                </c:pt>
                <c:pt idx="1">
                  <c:v>209</c:v>
                </c:pt>
                <c:pt idx="2">
                  <c:v>224</c:v>
                </c:pt>
              </c:numCache>
            </c:numRef>
          </c:xVal>
          <c:yVal>
            <c:numRef>
              <c:f>Graphs!$AI$14:$AI$16</c:f>
              <c:numCache>
                <c:formatCode>General</c:formatCode>
                <c:ptCount val="3"/>
                <c:pt idx="0">
                  <c:v>32.299999999999997</c:v>
                </c:pt>
                <c:pt idx="1">
                  <c:v>62.5</c:v>
                </c:pt>
                <c:pt idx="2">
                  <c:v>55</c:v>
                </c:pt>
              </c:numCache>
            </c:numRef>
          </c:yVal>
          <c:smooth val="0"/>
          <c:extLst>
            <c:ext xmlns:c16="http://schemas.microsoft.com/office/drawing/2014/chart" uri="{C3380CC4-5D6E-409C-BE32-E72D297353CC}">
              <c16:uniqueId val="{00000000-0B14-48CE-8B74-C3D9F1380214}"/>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trendline>
            <c:spPr>
              <a:ln w="25400">
                <a:solidFill>
                  <a:srgbClr val="000000"/>
                </a:solidFill>
                <a:prstDash val="solid"/>
              </a:ln>
            </c:spPr>
            <c:trendlineType val="poly"/>
            <c:order val="2"/>
            <c:dispRSqr val="1"/>
            <c:dispEq val="1"/>
            <c:trendlineLbl>
              <c:layout>
                <c:manualLayout>
                  <c:x val="0.10931293079907761"/>
                  <c:y val="0.19566512389602525"/>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en-US"/>
                </a:p>
              </c:txPr>
            </c:trendlineLbl>
          </c:trendline>
          <c:xVal>
            <c:numRef>
              <c:f>Graphs!$AH$14:$AH$16</c:f>
              <c:numCache>
                <c:formatCode>General</c:formatCode>
                <c:ptCount val="3"/>
                <c:pt idx="0">
                  <c:v>200</c:v>
                </c:pt>
                <c:pt idx="1">
                  <c:v>209</c:v>
                </c:pt>
                <c:pt idx="2">
                  <c:v>224</c:v>
                </c:pt>
              </c:numCache>
            </c:numRef>
          </c:xVal>
          <c:yVal>
            <c:numRef>
              <c:f>Graphs!$AJ$14:$AJ$16</c:f>
              <c:numCache>
                <c:formatCode>General</c:formatCode>
                <c:ptCount val="3"/>
                <c:pt idx="0">
                  <c:v>33.15</c:v>
                </c:pt>
                <c:pt idx="1">
                  <c:v>61.300000000000004</c:v>
                </c:pt>
                <c:pt idx="2">
                  <c:v>51.25</c:v>
                </c:pt>
              </c:numCache>
            </c:numRef>
          </c:yVal>
          <c:smooth val="0"/>
          <c:extLst>
            <c:ext xmlns:c16="http://schemas.microsoft.com/office/drawing/2014/chart" uri="{C3380CC4-5D6E-409C-BE32-E72D297353CC}">
              <c16:uniqueId val="{00000002-0B14-48CE-8B74-C3D9F1380214}"/>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Graphs!$AH$14:$AH$16</c:f>
              <c:numCache>
                <c:formatCode>General</c:formatCode>
                <c:ptCount val="3"/>
                <c:pt idx="0">
                  <c:v>200</c:v>
                </c:pt>
                <c:pt idx="1">
                  <c:v>209</c:v>
                </c:pt>
                <c:pt idx="2">
                  <c:v>224</c:v>
                </c:pt>
              </c:numCache>
            </c:numRef>
          </c:xVal>
          <c:yVal>
            <c:numRef>
              <c:f>Graphs!$AK$14:$AK$16</c:f>
              <c:numCache>
                <c:formatCode>General</c:formatCode>
                <c:ptCount val="3"/>
                <c:pt idx="0">
                  <c:v>36</c:v>
                </c:pt>
                <c:pt idx="1">
                  <c:v>67</c:v>
                </c:pt>
                <c:pt idx="2">
                  <c:v>50</c:v>
                </c:pt>
              </c:numCache>
            </c:numRef>
          </c:yVal>
          <c:smooth val="0"/>
          <c:extLst>
            <c:ext xmlns:c16="http://schemas.microsoft.com/office/drawing/2014/chart" uri="{C3380CC4-5D6E-409C-BE32-E72D297353CC}">
              <c16:uniqueId val="{00000003-0B14-48CE-8B74-C3D9F1380214}"/>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Graphs!$AH$14:$AH$16</c:f>
              <c:numCache>
                <c:formatCode>General</c:formatCode>
                <c:ptCount val="3"/>
                <c:pt idx="0">
                  <c:v>200</c:v>
                </c:pt>
                <c:pt idx="1">
                  <c:v>209</c:v>
                </c:pt>
                <c:pt idx="2">
                  <c:v>224</c:v>
                </c:pt>
              </c:numCache>
            </c:numRef>
          </c:xVal>
          <c:yVal>
            <c:numRef>
              <c:f>Graphs!$AL$14:$AL$16</c:f>
              <c:numCache>
                <c:formatCode>General</c:formatCode>
                <c:ptCount val="3"/>
                <c:pt idx="0">
                  <c:v>36.6</c:v>
                </c:pt>
                <c:pt idx="1">
                  <c:v>66</c:v>
                </c:pt>
                <c:pt idx="2">
                  <c:v>50</c:v>
                </c:pt>
              </c:numCache>
            </c:numRef>
          </c:yVal>
          <c:smooth val="0"/>
          <c:extLst>
            <c:ext xmlns:c16="http://schemas.microsoft.com/office/drawing/2014/chart" uri="{C3380CC4-5D6E-409C-BE32-E72D297353CC}">
              <c16:uniqueId val="{00000004-0B14-48CE-8B74-C3D9F1380214}"/>
            </c:ext>
          </c:extLst>
        </c:ser>
        <c:dLbls>
          <c:showLegendKey val="0"/>
          <c:showVal val="0"/>
          <c:showCatName val="0"/>
          <c:showSerName val="0"/>
          <c:showPercent val="0"/>
          <c:showBubbleSize val="0"/>
        </c:dLbls>
        <c:axId val="1860219904"/>
        <c:axId val="1"/>
      </c:scatterChart>
      <c:valAx>
        <c:axId val="1860219904"/>
        <c:scaling>
          <c:orientation val="minMax"/>
        </c:scaling>
        <c:delete val="0"/>
        <c:axPos val="b"/>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5147662504530031"/>
              <c:y val="0.7131551737850950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80"/>
        </c:scaling>
        <c:delete val="0"/>
        <c:axPos val="l"/>
        <c:title>
          <c:tx>
            <c:rich>
              <a:bodyPr/>
              <a:lstStyle/>
              <a:p>
                <a:pPr>
                  <a:defRPr sz="1200" b="0" i="0" u="none" strike="noStrike" baseline="0">
                    <a:solidFill>
                      <a:srgbClr val="000000"/>
                    </a:solidFill>
                    <a:latin typeface="Arial"/>
                    <a:ea typeface="Arial"/>
                    <a:cs typeface="Arial"/>
                  </a:defRPr>
                </a:pPr>
                <a:r>
                  <a:rPr lang="en-US"/>
                  <a:t>Plant height</a:t>
                </a:r>
                <a:r>
                  <a:rPr lang="en-US" baseline="0"/>
                  <a:t> (cm)</a:t>
                </a:r>
                <a:endParaRPr lang="en-US"/>
              </a:p>
            </c:rich>
          </c:tx>
          <c:layout>
            <c:manualLayout>
              <c:xMode val="edge"/>
              <c:yMode val="edge"/>
              <c:x val="1.6737060587091887E-2"/>
              <c:y val="0.1636417720512208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19904"/>
        <c:crosses val="autoZero"/>
        <c:crossBetween val="midCat"/>
      </c:valAx>
      <c:spPr>
        <a:noFill/>
        <a:ln w="3175">
          <a:solidFill>
            <a:srgbClr val="000000"/>
          </a:solidFill>
          <a:prstDash val="solid"/>
        </a:ln>
      </c:spPr>
    </c:plotArea>
    <c:legend>
      <c:legendPos val="r"/>
      <c:layout>
        <c:manualLayout>
          <c:xMode val="edge"/>
          <c:yMode val="edge"/>
          <c:x val="4.0202398366041434E-2"/>
          <c:y val="0.79131072189457197"/>
          <c:w val="0.91209191292956504"/>
          <c:h val="0.19266695837433057"/>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12016426433483"/>
          <c:y val="8.943377338988695E-2"/>
          <c:w val="0.71341389913270881"/>
          <c:h val="0.51221161123298897"/>
        </c:manualLayout>
      </c:layout>
      <c:scatterChart>
        <c:scatterStyle val="lineMarker"/>
        <c:varyColors val="0"/>
        <c:ser>
          <c:idx val="0"/>
          <c:order val="0"/>
          <c:tx>
            <c:strRef>
              <c:f>Graphs!$Y$6:$Y$6</c:f>
              <c:strCache>
                <c:ptCount val="1"/>
                <c:pt idx="0">
                  <c:v>SE</c:v>
                </c:pt>
              </c:strCache>
            </c:strRef>
          </c:tx>
          <c:spPr>
            <a:ln w="19050">
              <a:noFill/>
            </a:ln>
          </c:spPr>
          <c:marker>
            <c:symbol val="plus"/>
            <c:size val="7"/>
            <c:spPr>
              <a:noFill/>
              <a:ln>
                <a:solidFill>
                  <a:srgbClr val="000000"/>
                </a:solidFill>
                <a:prstDash val="solid"/>
              </a:ln>
            </c:spPr>
          </c:marker>
          <c:xVal>
            <c:numRef>
              <c:f>Graphs!$AH$18:$AH$21</c:f>
              <c:numCache>
                <c:formatCode>General</c:formatCode>
                <c:ptCount val="4"/>
                <c:pt idx="0">
                  <c:v>237</c:v>
                </c:pt>
                <c:pt idx="1">
                  <c:v>251</c:v>
                </c:pt>
                <c:pt idx="2">
                  <c:v>265</c:v>
                </c:pt>
                <c:pt idx="3">
                  <c:v>277</c:v>
                </c:pt>
              </c:numCache>
            </c:numRef>
          </c:xVal>
          <c:yVal>
            <c:numRef>
              <c:f>Graphs!$AI$18:$AI$21</c:f>
              <c:numCache>
                <c:formatCode>General</c:formatCode>
                <c:ptCount val="4"/>
                <c:pt idx="0">
                  <c:v>28.95</c:v>
                </c:pt>
                <c:pt idx="1">
                  <c:v>49.400000000000006</c:v>
                </c:pt>
                <c:pt idx="2">
                  <c:v>56.55</c:v>
                </c:pt>
                <c:pt idx="3">
                  <c:v>55.6</c:v>
                </c:pt>
              </c:numCache>
            </c:numRef>
          </c:yVal>
          <c:smooth val="0"/>
          <c:extLst>
            <c:ext xmlns:c16="http://schemas.microsoft.com/office/drawing/2014/chart" uri="{C3380CC4-5D6E-409C-BE32-E72D297353CC}">
              <c16:uniqueId val="{00000000-7F19-4AC3-8961-B3FF56701C0F}"/>
            </c:ext>
          </c:extLst>
        </c:ser>
        <c:ser>
          <c:idx val="1"/>
          <c:order val="1"/>
          <c:tx>
            <c:strRef>
              <c:f>Graphs!$Z$6:$Z$6</c:f>
              <c:strCache>
                <c:ptCount val="1"/>
                <c:pt idx="0">
                  <c:v>NE</c:v>
                </c:pt>
              </c:strCache>
            </c:strRef>
          </c:tx>
          <c:spPr>
            <a:ln w="19050">
              <a:noFill/>
            </a:ln>
          </c:spPr>
          <c:marker>
            <c:symbol val="square"/>
            <c:size val="7"/>
            <c:spPr>
              <a:noFill/>
              <a:ln>
                <a:solidFill>
                  <a:srgbClr val="000000"/>
                </a:solidFill>
                <a:prstDash val="solid"/>
              </a:ln>
            </c:spPr>
          </c:marker>
          <c:trendline>
            <c:spPr>
              <a:ln w="25400">
                <a:solidFill>
                  <a:srgbClr val="000000"/>
                </a:solidFill>
                <a:prstDash val="solid"/>
              </a:ln>
            </c:spPr>
            <c:trendlineType val="poly"/>
            <c:order val="2"/>
            <c:dispRSqr val="1"/>
            <c:dispEq val="1"/>
            <c:trendlineLbl>
              <c:layout>
                <c:manualLayout>
                  <c:x val="0.29736867041908976"/>
                  <c:y val="0.22327801087875435"/>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en-US"/>
                </a:p>
              </c:txPr>
            </c:trendlineLbl>
          </c:trendline>
          <c:xVal>
            <c:numRef>
              <c:f>Graphs!$AH$18:$AH$21</c:f>
              <c:numCache>
                <c:formatCode>General</c:formatCode>
                <c:ptCount val="4"/>
                <c:pt idx="0">
                  <c:v>237</c:v>
                </c:pt>
                <c:pt idx="1">
                  <c:v>251</c:v>
                </c:pt>
                <c:pt idx="2">
                  <c:v>265</c:v>
                </c:pt>
                <c:pt idx="3">
                  <c:v>277</c:v>
                </c:pt>
              </c:numCache>
            </c:numRef>
          </c:xVal>
          <c:yVal>
            <c:numRef>
              <c:f>Graphs!$AJ$18:$AJ$21</c:f>
              <c:numCache>
                <c:formatCode>General</c:formatCode>
                <c:ptCount val="4"/>
                <c:pt idx="0">
                  <c:v>28.85</c:v>
                </c:pt>
                <c:pt idx="1">
                  <c:v>60.25</c:v>
                </c:pt>
                <c:pt idx="2">
                  <c:v>63.899999999999991</c:v>
                </c:pt>
                <c:pt idx="3">
                  <c:v>61.25</c:v>
                </c:pt>
              </c:numCache>
            </c:numRef>
          </c:yVal>
          <c:smooth val="0"/>
          <c:extLst>
            <c:ext xmlns:c16="http://schemas.microsoft.com/office/drawing/2014/chart" uri="{C3380CC4-5D6E-409C-BE32-E72D297353CC}">
              <c16:uniqueId val="{00000002-7F19-4AC3-8961-B3FF56701C0F}"/>
            </c:ext>
          </c:extLst>
        </c:ser>
        <c:ser>
          <c:idx val="2"/>
          <c:order val="2"/>
          <c:tx>
            <c:strRef>
              <c:f>Graphs!$AA$6:$AA$6</c:f>
              <c:strCache>
                <c:ptCount val="1"/>
                <c:pt idx="0">
                  <c:v>SE Lys.</c:v>
                </c:pt>
              </c:strCache>
            </c:strRef>
          </c:tx>
          <c:spPr>
            <a:ln w="19050">
              <a:noFill/>
            </a:ln>
          </c:spPr>
          <c:marker>
            <c:symbol val="triangle"/>
            <c:size val="7"/>
            <c:spPr>
              <a:noFill/>
              <a:ln>
                <a:solidFill>
                  <a:srgbClr val="000000"/>
                </a:solidFill>
                <a:prstDash val="solid"/>
              </a:ln>
            </c:spPr>
          </c:marker>
          <c:xVal>
            <c:numRef>
              <c:f>Graphs!$AH$18:$AH$22</c:f>
              <c:numCache>
                <c:formatCode>General</c:formatCode>
                <c:ptCount val="5"/>
                <c:pt idx="0">
                  <c:v>237</c:v>
                </c:pt>
                <c:pt idx="1">
                  <c:v>251</c:v>
                </c:pt>
                <c:pt idx="2">
                  <c:v>265</c:v>
                </c:pt>
                <c:pt idx="3">
                  <c:v>277</c:v>
                </c:pt>
                <c:pt idx="4">
                  <c:v>278</c:v>
                </c:pt>
              </c:numCache>
            </c:numRef>
          </c:xVal>
          <c:yVal>
            <c:numRef>
              <c:f>Graphs!$AK$18:$AK$22</c:f>
              <c:numCache>
                <c:formatCode>General</c:formatCode>
                <c:ptCount val="5"/>
                <c:pt idx="0">
                  <c:v>33</c:v>
                </c:pt>
                <c:pt idx="1">
                  <c:v>56.8</c:v>
                </c:pt>
                <c:pt idx="2">
                  <c:v>60.4</c:v>
                </c:pt>
                <c:pt idx="3">
                  <c:v>61.8</c:v>
                </c:pt>
                <c:pt idx="4">
                  <c:v>61.8</c:v>
                </c:pt>
              </c:numCache>
            </c:numRef>
          </c:yVal>
          <c:smooth val="0"/>
          <c:extLst>
            <c:ext xmlns:c16="http://schemas.microsoft.com/office/drawing/2014/chart" uri="{C3380CC4-5D6E-409C-BE32-E72D297353CC}">
              <c16:uniqueId val="{00000003-7F19-4AC3-8961-B3FF56701C0F}"/>
            </c:ext>
          </c:extLst>
        </c:ser>
        <c:ser>
          <c:idx val="3"/>
          <c:order val="3"/>
          <c:tx>
            <c:strRef>
              <c:f>Graphs!$AB$6:$AB$6</c:f>
              <c:strCache>
                <c:ptCount val="1"/>
                <c:pt idx="0">
                  <c:v>NE Lys.</c:v>
                </c:pt>
              </c:strCache>
            </c:strRef>
          </c:tx>
          <c:spPr>
            <a:ln w="19050">
              <a:noFill/>
            </a:ln>
          </c:spPr>
          <c:marker>
            <c:symbol val="circle"/>
            <c:size val="7"/>
            <c:spPr>
              <a:solidFill>
                <a:srgbClr val="000000"/>
              </a:solidFill>
              <a:ln>
                <a:solidFill>
                  <a:srgbClr val="000000"/>
                </a:solidFill>
                <a:prstDash val="solid"/>
              </a:ln>
            </c:spPr>
          </c:marker>
          <c:xVal>
            <c:numRef>
              <c:f>Graphs!$AH$18:$AH$22</c:f>
              <c:numCache>
                <c:formatCode>General</c:formatCode>
                <c:ptCount val="5"/>
                <c:pt idx="0">
                  <c:v>237</c:v>
                </c:pt>
                <c:pt idx="1">
                  <c:v>251</c:v>
                </c:pt>
                <c:pt idx="2">
                  <c:v>265</c:v>
                </c:pt>
                <c:pt idx="3">
                  <c:v>277</c:v>
                </c:pt>
                <c:pt idx="4">
                  <c:v>278</c:v>
                </c:pt>
              </c:numCache>
            </c:numRef>
          </c:xVal>
          <c:yVal>
            <c:numRef>
              <c:f>Graphs!$AL$18:$AL$22</c:f>
              <c:numCache>
                <c:formatCode>General</c:formatCode>
                <c:ptCount val="5"/>
                <c:pt idx="0">
                  <c:v>28.4</c:v>
                </c:pt>
                <c:pt idx="1">
                  <c:v>56.2</c:v>
                </c:pt>
                <c:pt idx="2">
                  <c:v>61.6</c:v>
                </c:pt>
                <c:pt idx="3">
                  <c:v>55</c:v>
                </c:pt>
                <c:pt idx="4">
                  <c:v>55</c:v>
                </c:pt>
              </c:numCache>
            </c:numRef>
          </c:yVal>
          <c:smooth val="0"/>
          <c:extLst>
            <c:ext xmlns:c16="http://schemas.microsoft.com/office/drawing/2014/chart" uri="{C3380CC4-5D6E-409C-BE32-E72D297353CC}">
              <c16:uniqueId val="{00000004-7F19-4AC3-8961-B3FF56701C0F}"/>
            </c:ext>
          </c:extLst>
        </c:ser>
        <c:dLbls>
          <c:showLegendKey val="0"/>
          <c:showVal val="0"/>
          <c:showCatName val="0"/>
          <c:showSerName val="0"/>
          <c:showPercent val="0"/>
          <c:showBubbleSize val="0"/>
        </c:dLbls>
        <c:axId val="1860221152"/>
        <c:axId val="1"/>
      </c:scatterChart>
      <c:valAx>
        <c:axId val="1860221152"/>
        <c:scaling>
          <c:orientation val="minMax"/>
        </c:scaling>
        <c:delete val="0"/>
        <c:axPos val="b"/>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36193720554805126"/>
              <c:y val="0.7215680814288457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80"/>
        </c:scaling>
        <c:delete val="0"/>
        <c:axPos val="l"/>
        <c:title>
          <c:tx>
            <c:rich>
              <a:bodyPr/>
              <a:lstStyle/>
              <a:p>
                <a:pPr>
                  <a:defRPr sz="1200" b="0" i="0" u="none" strike="noStrike" baseline="0">
                    <a:solidFill>
                      <a:srgbClr val="000000"/>
                    </a:solidFill>
                    <a:latin typeface="Arial"/>
                    <a:ea typeface="Arial"/>
                    <a:cs typeface="Arial"/>
                  </a:defRPr>
                </a:pPr>
                <a:r>
                  <a:rPr lang="en-US"/>
                  <a:t>Plant height (cm)</a:t>
                </a:r>
              </a:p>
            </c:rich>
          </c:tx>
          <c:layout>
            <c:manualLayout>
              <c:xMode val="edge"/>
              <c:yMode val="edge"/>
              <c:x val="1.6737060587091887E-2"/>
              <c:y val="0.1687046283848665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21152"/>
        <c:crosses val="autoZero"/>
        <c:crossBetween val="midCat"/>
      </c:valAx>
      <c:spPr>
        <a:noFill/>
        <a:ln w="3175">
          <a:solidFill>
            <a:srgbClr val="000000"/>
          </a:solidFill>
          <a:prstDash val="solid"/>
        </a:ln>
      </c:spPr>
    </c:plotArea>
    <c:legend>
      <c:legendPos val="r"/>
      <c:layout>
        <c:manualLayout>
          <c:xMode val="edge"/>
          <c:yMode val="edge"/>
          <c:x val="0.16080959346416573"/>
          <c:y val="0.77831565049133278"/>
          <c:w val="0.68595342212058197"/>
          <c:h val="0.21016832105255573"/>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817811138347019E-2"/>
          <c:y val="0.10881181729529908"/>
          <c:w val="0.85746676997870153"/>
          <c:h val="0.54664984403114536"/>
        </c:manualLayout>
      </c:layout>
      <c:scatterChart>
        <c:scatterStyle val="lineMarker"/>
        <c:varyColors val="0"/>
        <c:ser>
          <c:idx val="0"/>
          <c:order val="0"/>
          <c:tx>
            <c:strRef>
              <c:f>Graphs!$AI$6</c:f>
              <c:strCache>
                <c:ptCount val="1"/>
                <c:pt idx="0">
                  <c:v>SE</c:v>
                </c:pt>
              </c:strCache>
            </c:strRef>
          </c:tx>
          <c:spPr>
            <a:ln w="3175">
              <a:solidFill>
                <a:srgbClr val="000000"/>
              </a:solidFill>
              <a:prstDash val="solid"/>
            </a:ln>
          </c:spPr>
          <c:marker>
            <c:symbol val="plus"/>
            <c:size val="7"/>
            <c:spPr>
              <a:noFill/>
              <a:ln>
                <a:solidFill>
                  <a:srgbClr val="000000"/>
                </a:solidFill>
                <a:prstDash val="solid"/>
              </a:ln>
            </c:spPr>
          </c:marker>
          <c:xVal>
            <c:numRef>
              <c:f>Graphs!$AH$8:$AH$21</c:f>
              <c:numCache>
                <c:formatCode>General</c:formatCode>
                <c:ptCount val="14"/>
                <c:pt idx="0">
                  <c:v>131</c:v>
                </c:pt>
                <c:pt idx="1">
                  <c:v>153</c:v>
                </c:pt>
                <c:pt idx="3">
                  <c:v>173</c:v>
                </c:pt>
                <c:pt idx="4">
                  <c:v>187</c:v>
                </c:pt>
                <c:pt idx="6">
                  <c:v>200</c:v>
                </c:pt>
                <c:pt idx="7">
                  <c:v>209</c:v>
                </c:pt>
                <c:pt idx="8">
                  <c:v>224</c:v>
                </c:pt>
                <c:pt idx="10">
                  <c:v>237</c:v>
                </c:pt>
                <c:pt idx="11">
                  <c:v>251</c:v>
                </c:pt>
                <c:pt idx="12">
                  <c:v>265</c:v>
                </c:pt>
                <c:pt idx="13">
                  <c:v>277</c:v>
                </c:pt>
              </c:numCache>
            </c:numRef>
          </c:xVal>
          <c:yVal>
            <c:numRef>
              <c:f>Graphs!$AI$8:$AI$21</c:f>
              <c:numCache>
                <c:formatCode>General</c:formatCode>
                <c:ptCount val="14"/>
                <c:pt idx="0">
                  <c:v>34.9</c:v>
                </c:pt>
                <c:pt idx="1">
                  <c:v>63.8</c:v>
                </c:pt>
                <c:pt idx="3">
                  <c:v>45.099999999999994</c:v>
                </c:pt>
                <c:pt idx="4">
                  <c:v>68.2</c:v>
                </c:pt>
                <c:pt idx="6">
                  <c:v>32.299999999999997</c:v>
                </c:pt>
                <c:pt idx="7">
                  <c:v>62.5</c:v>
                </c:pt>
                <c:pt idx="8">
                  <c:v>55</c:v>
                </c:pt>
                <c:pt idx="10">
                  <c:v>28.95</c:v>
                </c:pt>
                <c:pt idx="11">
                  <c:v>49.400000000000006</c:v>
                </c:pt>
                <c:pt idx="12">
                  <c:v>56.55</c:v>
                </c:pt>
                <c:pt idx="13">
                  <c:v>55.6</c:v>
                </c:pt>
              </c:numCache>
            </c:numRef>
          </c:yVal>
          <c:smooth val="0"/>
          <c:extLst>
            <c:ext xmlns:c16="http://schemas.microsoft.com/office/drawing/2014/chart" uri="{C3380CC4-5D6E-409C-BE32-E72D297353CC}">
              <c16:uniqueId val="{00000000-5995-4068-8229-F0A2C8B8D18E}"/>
            </c:ext>
          </c:extLst>
        </c:ser>
        <c:ser>
          <c:idx val="1"/>
          <c:order val="1"/>
          <c:tx>
            <c:strRef>
              <c:f>Graphs!$Z$6:$Z$6</c:f>
              <c:strCache>
                <c:ptCount val="1"/>
                <c:pt idx="0">
                  <c:v>NE</c:v>
                </c:pt>
              </c:strCache>
            </c:strRef>
          </c:tx>
          <c:spPr>
            <a:ln w="3175">
              <a:solidFill>
                <a:srgbClr val="000000"/>
              </a:solidFill>
              <a:prstDash val="lgDash"/>
            </a:ln>
          </c:spPr>
          <c:marker>
            <c:symbol val="square"/>
            <c:size val="7"/>
            <c:spPr>
              <a:noFill/>
              <a:ln>
                <a:solidFill>
                  <a:srgbClr val="000000"/>
                </a:solidFill>
                <a:prstDash val="solid"/>
              </a:ln>
            </c:spPr>
          </c:marker>
          <c:xVal>
            <c:numRef>
              <c:f>Graphs!$AH$8:$AH$21</c:f>
              <c:numCache>
                <c:formatCode>General</c:formatCode>
                <c:ptCount val="14"/>
                <c:pt idx="0">
                  <c:v>131</c:v>
                </c:pt>
                <c:pt idx="1">
                  <c:v>153</c:v>
                </c:pt>
                <c:pt idx="3">
                  <c:v>173</c:v>
                </c:pt>
                <c:pt idx="4">
                  <c:v>187</c:v>
                </c:pt>
                <c:pt idx="6">
                  <c:v>200</c:v>
                </c:pt>
                <c:pt idx="7">
                  <c:v>209</c:v>
                </c:pt>
                <c:pt idx="8">
                  <c:v>224</c:v>
                </c:pt>
                <c:pt idx="10">
                  <c:v>237</c:v>
                </c:pt>
                <c:pt idx="11">
                  <c:v>251</c:v>
                </c:pt>
                <c:pt idx="12">
                  <c:v>265</c:v>
                </c:pt>
                <c:pt idx="13">
                  <c:v>277</c:v>
                </c:pt>
              </c:numCache>
            </c:numRef>
          </c:xVal>
          <c:yVal>
            <c:numRef>
              <c:f>Graphs!$AJ$8:$AJ$21</c:f>
              <c:numCache>
                <c:formatCode>General</c:formatCode>
                <c:ptCount val="14"/>
                <c:pt idx="0">
                  <c:v>33.35</c:v>
                </c:pt>
                <c:pt idx="1">
                  <c:v>68.300000000000011</c:v>
                </c:pt>
                <c:pt idx="3">
                  <c:v>41.2</c:v>
                </c:pt>
                <c:pt idx="4">
                  <c:v>69.149999999999991</c:v>
                </c:pt>
                <c:pt idx="6">
                  <c:v>33.15</c:v>
                </c:pt>
                <c:pt idx="7">
                  <c:v>61.300000000000004</c:v>
                </c:pt>
                <c:pt idx="8">
                  <c:v>51.25</c:v>
                </c:pt>
                <c:pt idx="10">
                  <c:v>28.85</c:v>
                </c:pt>
                <c:pt idx="11">
                  <c:v>60.25</c:v>
                </c:pt>
                <c:pt idx="12">
                  <c:v>63.899999999999991</c:v>
                </c:pt>
                <c:pt idx="13">
                  <c:v>61.25</c:v>
                </c:pt>
              </c:numCache>
            </c:numRef>
          </c:yVal>
          <c:smooth val="0"/>
          <c:extLst>
            <c:ext xmlns:c16="http://schemas.microsoft.com/office/drawing/2014/chart" uri="{C3380CC4-5D6E-409C-BE32-E72D297353CC}">
              <c16:uniqueId val="{00000001-5995-4068-8229-F0A2C8B8D18E}"/>
            </c:ext>
          </c:extLst>
        </c:ser>
        <c:ser>
          <c:idx val="2"/>
          <c:order val="2"/>
          <c:tx>
            <c:strRef>
              <c:f>Graphs!$AA$6:$AA$6</c:f>
              <c:strCache>
                <c:ptCount val="1"/>
                <c:pt idx="0">
                  <c:v>SE Lys.</c:v>
                </c:pt>
              </c:strCache>
            </c:strRef>
          </c:tx>
          <c:spPr>
            <a:ln w="3175">
              <a:solidFill>
                <a:srgbClr val="000000"/>
              </a:solidFill>
              <a:prstDash val="sysDash"/>
            </a:ln>
          </c:spPr>
          <c:marker>
            <c:symbol val="triangle"/>
            <c:size val="7"/>
            <c:spPr>
              <a:noFill/>
              <a:ln>
                <a:solidFill>
                  <a:srgbClr val="000000"/>
                </a:solidFill>
                <a:prstDash val="solid"/>
              </a:ln>
            </c:spPr>
          </c:marker>
          <c:xVal>
            <c:numRef>
              <c:f>Graphs!$AH$8:$AH$22</c:f>
              <c:numCache>
                <c:formatCode>General</c:formatCode>
                <c:ptCount val="15"/>
                <c:pt idx="0">
                  <c:v>131</c:v>
                </c:pt>
                <c:pt idx="1">
                  <c:v>153</c:v>
                </c:pt>
                <c:pt idx="3">
                  <c:v>173</c:v>
                </c:pt>
                <c:pt idx="4">
                  <c:v>187</c:v>
                </c:pt>
                <c:pt idx="6">
                  <c:v>200</c:v>
                </c:pt>
                <c:pt idx="7">
                  <c:v>209</c:v>
                </c:pt>
                <c:pt idx="8">
                  <c:v>224</c:v>
                </c:pt>
                <c:pt idx="10">
                  <c:v>237</c:v>
                </c:pt>
                <c:pt idx="11">
                  <c:v>251</c:v>
                </c:pt>
                <c:pt idx="12">
                  <c:v>265</c:v>
                </c:pt>
                <c:pt idx="13">
                  <c:v>277</c:v>
                </c:pt>
                <c:pt idx="14">
                  <c:v>278</c:v>
                </c:pt>
              </c:numCache>
            </c:numRef>
          </c:xVal>
          <c:yVal>
            <c:numRef>
              <c:f>Graphs!$AK$8:$AK$22</c:f>
              <c:numCache>
                <c:formatCode>General</c:formatCode>
                <c:ptCount val="15"/>
                <c:pt idx="0">
                  <c:v>26</c:v>
                </c:pt>
                <c:pt idx="1">
                  <c:v>63.8</c:v>
                </c:pt>
                <c:pt idx="3">
                  <c:v>44.6</c:v>
                </c:pt>
                <c:pt idx="4">
                  <c:v>73.2</c:v>
                </c:pt>
                <c:pt idx="6">
                  <c:v>36</c:v>
                </c:pt>
                <c:pt idx="7">
                  <c:v>67</c:v>
                </c:pt>
                <c:pt idx="8">
                  <c:v>50</c:v>
                </c:pt>
                <c:pt idx="10">
                  <c:v>33</c:v>
                </c:pt>
                <c:pt idx="11">
                  <c:v>56.8</c:v>
                </c:pt>
                <c:pt idx="12">
                  <c:v>60.4</c:v>
                </c:pt>
                <c:pt idx="13">
                  <c:v>61.8</c:v>
                </c:pt>
                <c:pt idx="14">
                  <c:v>61.8</c:v>
                </c:pt>
              </c:numCache>
            </c:numRef>
          </c:yVal>
          <c:smooth val="0"/>
          <c:extLst>
            <c:ext xmlns:c16="http://schemas.microsoft.com/office/drawing/2014/chart" uri="{C3380CC4-5D6E-409C-BE32-E72D297353CC}">
              <c16:uniqueId val="{00000002-5995-4068-8229-F0A2C8B8D18E}"/>
            </c:ext>
          </c:extLst>
        </c:ser>
        <c:ser>
          <c:idx val="3"/>
          <c:order val="3"/>
          <c:tx>
            <c:strRef>
              <c:f>Graphs!$AB$6:$AB$6</c:f>
              <c:strCache>
                <c:ptCount val="1"/>
                <c:pt idx="0">
                  <c:v>NE Lys.</c:v>
                </c:pt>
              </c:strCache>
            </c:strRef>
          </c:tx>
          <c:spPr>
            <a:ln w="3175">
              <a:solidFill>
                <a:srgbClr val="000000"/>
              </a:solidFill>
              <a:prstDash val="lgDashDot"/>
            </a:ln>
          </c:spPr>
          <c:marker>
            <c:symbol val="circle"/>
            <c:size val="7"/>
            <c:spPr>
              <a:solidFill>
                <a:srgbClr val="000000"/>
              </a:solidFill>
              <a:ln>
                <a:solidFill>
                  <a:srgbClr val="000000"/>
                </a:solidFill>
                <a:prstDash val="solid"/>
              </a:ln>
            </c:spPr>
          </c:marker>
          <c:xVal>
            <c:numRef>
              <c:f>Graphs!$AH$8:$AH$22</c:f>
              <c:numCache>
                <c:formatCode>General</c:formatCode>
                <c:ptCount val="15"/>
                <c:pt idx="0">
                  <c:v>131</c:v>
                </c:pt>
                <c:pt idx="1">
                  <c:v>153</c:v>
                </c:pt>
                <c:pt idx="3">
                  <c:v>173</c:v>
                </c:pt>
                <c:pt idx="4">
                  <c:v>187</c:v>
                </c:pt>
                <c:pt idx="6">
                  <c:v>200</c:v>
                </c:pt>
                <c:pt idx="7">
                  <c:v>209</c:v>
                </c:pt>
                <c:pt idx="8">
                  <c:v>224</c:v>
                </c:pt>
                <c:pt idx="10">
                  <c:v>237</c:v>
                </c:pt>
                <c:pt idx="11">
                  <c:v>251</c:v>
                </c:pt>
                <c:pt idx="12">
                  <c:v>265</c:v>
                </c:pt>
                <c:pt idx="13">
                  <c:v>277</c:v>
                </c:pt>
                <c:pt idx="14">
                  <c:v>278</c:v>
                </c:pt>
              </c:numCache>
            </c:numRef>
          </c:xVal>
          <c:yVal>
            <c:numRef>
              <c:f>Graphs!$AL$8:$AL$22</c:f>
              <c:numCache>
                <c:formatCode>General</c:formatCode>
                <c:ptCount val="15"/>
                <c:pt idx="0">
                  <c:v>30</c:v>
                </c:pt>
                <c:pt idx="1">
                  <c:v>67.8</c:v>
                </c:pt>
                <c:pt idx="3">
                  <c:v>46</c:v>
                </c:pt>
                <c:pt idx="4">
                  <c:v>72.599999999999994</c:v>
                </c:pt>
                <c:pt idx="6">
                  <c:v>36.6</c:v>
                </c:pt>
                <c:pt idx="7">
                  <c:v>66</c:v>
                </c:pt>
                <c:pt idx="8">
                  <c:v>50</c:v>
                </c:pt>
                <c:pt idx="10">
                  <c:v>28.4</c:v>
                </c:pt>
                <c:pt idx="11">
                  <c:v>56.2</c:v>
                </c:pt>
                <c:pt idx="12">
                  <c:v>61.6</c:v>
                </c:pt>
                <c:pt idx="13">
                  <c:v>55</c:v>
                </c:pt>
                <c:pt idx="14">
                  <c:v>55</c:v>
                </c:pt>
              </c:numCache>
            </c:numRef>
          </c:yVal>
          <c:smooth val="0"/>
          <c:extLst>
            <c:ext xmlns:c16="http://schemas.microsoft.com/office/drawing/2014/chart" uri="{C3380CC4-5D6E-409C-BE32-E72D297353CC}">
              <c16:uniqueId val="{00000003-5995-4068-8229-F0A2C8B8D18E}"/>
            </c:ext>
          </c:extLst>
        </c:ser>
        <c:dLbls>
          <c:showLegendKey val="0"/>
          <c:showVal val="0"/>
          <c:showCatName val="0"/>
          <c:showSerName val="0"/>
          <c:showPercent val="0"/>
          <c:showBubbleSize val="0"/>
        </c:dLbls>
        <c:axId val="1860233632"/>
        <c:axId val="1"/>
      </c:scatterChart>
      <c:valAx>
        <c:axId val="1860233632"/>
        <c:scaling>
          <c:orientation val="minMax"/>
          <c:min val="100"/>
        </c:scaling>
        <c:delete val="0"/>
        <c:axPos val="b"/>
        <c:title>
          <c:tx>
            <c:rich>
              <a:bodyPr/>
              <a:lstStyle/>
              <a:p>
                <a:pPr>
                  <a:defRPr sz="1200" b="0" i="0" u="none" strike="noStrike" baseline="0">
                    <a:solidFill>
                      <a:srgbClr val="000000"/>
                    </a:solidFill>
                    <a:latin typeface="Arial"/>
                    <a:ea typeface="Arial"/>
                    <a:cs typeface="Arial"/>
                  </a:defRPr>
                </a:pPr>
                <a:r>
                  <a:rPr lang="en-US"/>
                  <a:t>Day of Year 1999</a:t>
                </a:r>
              </a:p>
            </c:rich>
          </c:tx>
          <c:layout>
            <c:manualLayout>
              <c:xMode val="edge"/>
              <c:yMode val="edge"/>
              <c:x val="0.42665219136889887"/>
              <c:y val="0.8083162661662111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majorUnit val="25"/>
      </c:valAx>
      <c:valAx>
        <c:axId val="1"/>
        <c:scaling>
          <c:orientation val="minMax"/>
        </c:scaling>
        <c:delete val="0"/>
        <c:axPos val="l"/>
        <c:title>
          <c:tx>
            <c:rich>
              <a:bodyPr/>
              <a:lstStyle/>
              <a:p>
                <a:pPr>
                  <a:defRPr sz="1200" b="0" i="0" u="none" strike="noStrike" baseline="0">
                    <a:solidFill>
                      <a:srgbClr val="000000"/>
                    </a:solidFill>
                    <a:latin typeface="Arial"/>
                    <a:ea typeface="Arial"/>
                    <a:cs typeface="Arial"/>
                  </a:defRPr>
                </a:pPr>
                <a:r>
                  <a:rPr lang="en-US"/>
                  <a:t>Plant height (cm)</a:t>
                </a:r>
              </a:p>
            </c:rich>
          </c:tx>
          <c:layout>
            <c:manualLayout>
              <c:xMode val="edge"/>
              <c:yMode val="edge"/>
              <c:x val="8.3249895532049138E-3"/>
              <c:y val="0.1554453102688588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860233632"/>
        <c:crosses val="autoZero"/>
        <c:crossBetween val="midCat"/>
      </c:valAx>
      <c:spPr>
        <a:noFill/>
        <a:ln w="3175">
          <a:solidFill>
            <a:srgbClr val="000000"/>
          </a:solidFill>
          <a:prstDash val="solid"/>
        </a:ln>
      </c:spPr>
    </c:plotArea>
    <c:legend>
      <c:legendPos val="r"/>
      <c:layout>
        <c:manualLayout>
          <c:xMode val="edge"/>
          <c:yMode val="edge"/>
          <c:x val="0.3358406745339107"/>
          <c:y val="0.89414805092186644"/>
          <c:w val="0.58678482167634971"/>
          <c:h val="9.1179570982164018E-2"/>
        </c:manualLayout>
      </c:layout>
      <c:overlay val="0"/>
      <c:spPr>
        <a:no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655320</xdr:colOff>
      <xdr:row>3</xdr:row>
      <xdr:rowOff>0</xdr:rowOff>
    </xdr:from>
    <xdr:to>
      <xdr:col>5</xdr:col>
      <xdr:colOff>571500</xdr:colOff>
      <xdr:row>18</xdr:row>
      <xdr:rowOff>60960</xdr:rowOff>
    </xdr:to>
    <xdr:graphicFrame macro="">
      <xdr:nvGraphicFramePr>
        <xdr:cNvPr id="1039" name="Chart 1">
          <a:extLst>
            <a:ext uri="{FF2B5EF4-FFF2-40B4-BE49-F238E27FC236}">
              <a16:creationId xmlns:a16="http://schemas.microsoft.com/office/drawing/2014/main" id="{88CDB36E-113B-41A4-B129-7647CCDD57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xdr:colOff>
      <xdr:row>19</xdr:row>
      <xdr:rowOff>0</xdr:rowOff>
    </xdr:from>
    <xdr:to>
      <xdr:col>5</xdr:col>
      <xdr:colOff>586740</xdr:colOff>
      <xdr:row>34</xdr:row>
      <xdr:rowOff>60960</xdr:rowOff>
    </xdr:to>
    <xdr:graphicFrame macro="">
      <xdr:nvGraphicFramePr>
        <xdr:cNvPr id="1040" name="Chart 2">
          <a:extLst>
            <a:ext uri="{FF2B5EF4-FFF2-40B4-BE49-F238E27FC236}">
              <a16:creationId xmlns:a16="http://schemas.microsoft.com/office/drawing/2014/main" id="{A5A38BD2-03B3-4B98-B832-2252911DA1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38100</xdr:colOff>
      <xdr:row>3</xdr:row>
      <xdr:rowOff>0</xdr:rowOff>
    </xdr:from>
    <xdr:to>
      <xdr:col>10</xdr:col>
      <xdr:colOff>624840</xdr:colOff>
      <xdr:row>18</xdr:row>
      <xdr:rowOff>60960</xdr:rowOff>
    </xdr:to>
    <xdr:graphicFrame macro="">
      <xdr:nvGraphicFramePr>
        <xdr:cNvPr id="1041" name="Chart 3">
          <a:extLst>
            <a:ext uri="{FF2B5EF4-FFF2-40B4-BE49-F238E27FC236}">
              <a16:creationId xmlns:a16="http://schemas.microsoft.com/office/drawing/2014/main" id="{8374F759-01E6-4390-9E0C-89DBC358AD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15240</xdr:colOff>
      <xdr:row>19</xdr:row>
      <xdr:rowOff>7620</xdr:rowOff>
    </xdr:from>
    <xdr:to>
      <xdr:col>10</xdr:col>
      <xdr:colOff>601980</xdr:colOff>
      <xdr:row>34</xdr:row>
      <xdr:rowOff>76200</xdr:rowOff>
    </xdr:to>
    <xdr:graphicFrame macro="">
      <xdr:nvGraphicFramePr>
        <xdr:cNvPr id="1042" name="Chart 4">
          <a:extLst>
            <a:ext uri="{FF2B5EF4-FFF2-40B4-BE49-F238E27FC236}">
              <a16:creationId xmlns:a16="http://schemas.microsoft.com/office/drawing/2014/main" id="{E5E79EE5-332F-4332-9E9B-F39CF473DA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0</xdr:colOff>
      <xdr:row>0</xdr:row>
      <xdr:rowOff>0</xdr:rowOff>
    </xdr:from>
    <xdr:to>
      <xdr:col>16</xdr:col>
      <xdr:colOff>579120</xdr:colOff>
      <xdr:row>18</xdr:row>
      <xdr:rowOff>76200</xdr:rowOff>
    </xdr:to>
    <xdr:graphicFrame macro="">
      <xdr:nvGraphicFramePr>
        <xdr:cNvPr id="1043" name="Chart 1">
          <a:extLst>
            <a:ext uri="{FF2B5EF4-FFF2-40B4-BE49-F238E27FC236}">
              <a16:creationId xmlns:a16="http://schemas.microsoft.com/office/drawing/2014/main" id="{F408F50F-ADBF-479B-905D-87223B90A3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0</xdr:colOff>
      <xdr:row>0</xdr:row>
      <xdr:rowOff>0</xdr:rowOff>
    </xdr:from>
    <xdr:to>
      <xdr:col>21</xdr:col>
      <xdr:colOff>586740</xdr:colOff>
      <xdr:row>18</xdr:row>
      <xdr:rowOff>76200</xdr:rowOff>
    </xdr:to>
    <xdr:graphicFrame macro="">
      <xdr:nvGraphicFramePr>
        <xdr:cNvPr id="1044" name="Chart 2">
          <a:extLst>
            <a:ext uri="{FF2B5EF4-FFF2-40B4-BE49-F238E27FC236}">
              <a16:creationId xmlns:a16="http://schemas.microsoft.com/office/drawing/2014/main" id="{A7CF317F-B590-457F-B396-A2D69508D6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0</xdr:colOff>
      <xdr:row>19</xdr:row>
      <xdr:rowOff>0</xdr:rowOff>
    </xdr:from>
    <xdr:to>
      <xdr:col>16</xdr:col>
      <xdr:colOff>594360</xdr:colOff>
      <xdr:row>38</xdr:row>
      <xdr:rowOff>137160</xdr:rowOff>
    </xdr:to>
    <xdr:graphicFrame macro="">
      <xdr:nvGraphicFramePr>
        <xdr:cNvPr id="1045" name="Chart 3">
          <a:extLst>
            <a:ext uri="{FF2B5EF4-FFF2-40B4-BE49-F238E27FC236}">
              <a16:creationId xmlns:a16="http://schemas.microsoft.com/office/drawing/2014/main" id="{585F5DE1-FD4C-4CD5-8310-4BAE902F64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0</xdr:colOff>
      <xdr:row>19</xdr:row>
      <xdr:rowOff>0</xdr:rowOff>
    </xdr:from>
    <xdr:to>
      <xdr:col>21</xdr:col>
      <xdr:colOff>594360</xdr:colOff>
      <xdr:row>38</xdr:row>
      <xdr:rowOff>114300</xdr:rowOff>
    </xdr:to>
    <xdr:graphicFrame macro="">
      <xdr:nvGraphicFramePr>
        <xdr:cNvPr id="1046" name="Chart 4">
          <a:extLst>
            <a:ext uri="{FF2B5EF4-FFF2-40B4-BE49-F238E27FC236}">
              <a16:creationId xmlns:a16="http://schemas.microsoft.com/office/drawing/2014/main" id="{AD985E92-F0C1-4AEF-BEC7-551001D948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38100</xdr:colOff>
      <xdr:row>40</xdr:row>
      <xdr:rowOff>0</xdr:rowOff>
    </xdr:from>
    <xdr:to>
      <xdr:col>22</xdr:col>
      <xdr:colOff>45720</xdr:colOff>
      <xdr:row>55</xdr:row>
      <xdr:rowOff>76200</xdr:rowOff>
    </xdr:to>
    <xdr:graphicFrame macro="">
      <xdr:nvGraphicFramePr>
        <xdr:cNvPr id="1047" name="Chart 5">
          <a:extLst>
            <a:ext uri="{FF2B5EF4-FFF2-40B4-BE49-F238E27FC236}">
              <a16:creationId xmlns:a16="http://schemas.microsoft.com/office/drawing/2014/main" id="{6229B05F-2AE6-431D-B5D4-F9E31EDDCB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40</xdr:row>
      <xdr:rowOff>0</xdr:rowOff>
    </xdr:from>
    <xdr:to>
      <xdr:col>11</xdr:col>
      <xdr:colOff>7620</xdr:colOff>
      <xdr:row>55</xdr:row>
      <xdr:rowOff>76200</xdr:rowOff>
    </xdr:to>
    <xdr:graphicFrame macro="">
      <xdr:nvGraphicFramePr>
        <xdr:cNvPr id="11" name="Chart 5">
          <a:extLst>
            <a:ext uri="{FF2B5EF4-FFF2-40B4-BE49-F238E27FC236}">
              <a16:creationId xmlns:a16="http://schemas.microsoft.com/office/drawing/2014/main" id="{319A65D4-8279-42EA-ADDC-E4BF5C541A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EA8D8-3E8A-4580-9B1E-E90846C6AD1A}">
  <dimension ref="A1:D58"/>
  <sheetViews>
    <sheetView tabSelected="1" workbookViewId="0">
      <selection activeCell="B8" sqref="B8"/>
    </sheetView>
  </sheetViews>
  <sheetFormatPr defaultColWidth="8.7109375" defaultRowHeight="12.75" x14ac:dyDescent="0.2"/>
  <cols>
    <col min="1" max="1" width="28.42578125" style="15" customWidth="1"/>
    <col min="2" max="2" width="164.42578125" style="15" customWidth="1"/>
    <col min="3" max="16384" width="8.7109375" style="15"/>
  </cols>
  <sheetData>
    <row r="1" spans="1:2" s="38" customFormat="1" ht="15" x14ac:dyDescent="0.2">
      <c r="A1" s="37" t="s">
        <v>30</v>
      </c>
      <c r="B1" s="38" t="s">
        <v>31</v>
      </c>
    </row>
    <row r="2" spans="1:2" x14ac:dyDescent="0.2">
      <c r="A2" s="14" t="s">
        <v>136</v>
      </c>
      <c r="B2" s="15" t="s">
        <v>32</v>
      </c>
    </row>
    <row r="3" spans="1:2" x14ac:dyDescent="0.2">
      <c r="A3" s="14" t="s">
        <v>139</v>
      </c>
      <c r="B3" s="15" t="s">
        <v>138</v>
      </c>
    </row>
    <row r="4" spans="1:2" x14ac:dyDescent="0.2">
      <c r="A4" s="14" t="s">
        <v>137</v>
      </c>
      <c r="B4" s="15" t="s">
        <v>33</v>
      </c>
    </row>
    <row r="5" spans="1:2" x14ac:dyDescent="0.2">
      <c r="A5" s="14" t="s">
        <v>141</v>
      </c>
      <c r="B5" s="15" t="s">
        <v>142</v>
      </c>
    </row>
    <row r="6" spans="1:2" x14ac:dyDescent="0.2">
      <c r="A6" s="14" t="s">
        <v>140</v>
      </c>
      <c r="B6" s="15" t="s">
        <v>120</v>
      </c>
    </row>
    <row r="7" spans="1:2" x14ac:dyDescent="0.2">
      <c r="A7" s="14" t="s">
        <v>157</v>
      </c>
      <c r="B7" s="15" t="s">
        <v>159</v>
      </c>
    </row>
    <row r="8" spans="1:2" x14ac:dyDescent="0.2">
      <c r="A8" s="14" t="s">
        <v>152</v>
      </c>
      <c r="B8" s="27" t="s">
        <v>158</v>
      </c>
    </row>
    <row r="9" spans="1:2" ht="24.6" customHeight="1" x14ac:dyDescent="0.2">
      <c r="A9" s="16" t="s">
        <v>34</v>
      </c>
    </row>
    <row r="10" spans="1:2" ht="15" x14ac:dyDescent="0.2">
      <c r="A10" s="17" t="s">
        <v>35</v>
      </c>
    </row>
    <row r="11" spans="1:2" ht="15" x14ac:dyDescent="0.2">
      <c r="A11" s="15" t="s">
        <v>36</v>
      </c>
      <c r="B11" s="18" t="s">
        <v>37</v>
      </c>
    </row>
    <row r="12" spans="1:2" ht="15" x14ac:dyDescent="0.2">
      <c r="A12" s="15" t="s">
        <v>36</v>
      </c>
      <c r="B12" s="18" t="s">
        <v>121</v>
      </c>
    </row>
    <row r="13" spans="1:2" ht="15" x14ac:dyDescent="0.2">
      <c r="A13" s="15" t="s">
        <v>36</v>
      </c>
      <c r="B13" s="17" t="s">
        <v>38</v>
      </c>
    </row>
    <row r="14" spans="1:2" ht="15" x14ac:dyDescent="0.2">
      <c r="A14" s="15" t="s">
        <v>36</v>
      </c>
      <c r="B14" s="18" t="s">
        <v>39</v>
      </c>
    </row>
    <row r="15" spans="1:2" ht="15" x14ac:dyDescent="0.2">
      <c r="A15" s="15" t="s">
        <v>36</v>
      </c>
      <c r="B15" s="18" t="s">
        <v>40</v>
      </c>
    </row>
    <row r="16" spans="1:2" ht="15" x14ac:dyDescent="0.2">
      <c r="A16" s="15" t="s">
        <v>36</v>
      </c>
      <c r="B16" s="18" t="s">
        <v>41</v>
      </c>
    </row>
    <row r="17" spans="1:2" ht="15" x14ac:dyDescent="0.2">
      <c r="A17" s="15" t="s">
        <v>36</v>
      </c>
      <c r="B17" s="18" t="s">
        <v>42</v>
      </c>
    </row>
    <row r="18" spans="1:2" ht="15" x14ac:dyDescent="0.2">
      <c r="A18" s="17" t="s">
        <v>43</v>
      </c>
    </row>
    <row r="19" spans="1:2" ht="15" x14ac:dyDescent="0.2">
      <c r="A19" s="17" t="s">
        <v>44</v>
      </c>
    </row>
    <row r="20" spans="1:2" ht="18.75" x14ac:dyDescent="0.2">
      <c r="A20" s="16" t="s">
        <v>45</v>
      </c>
    </row>
    <row r="21" spans="1:2" ht="15" x14ac:dyDescent="0.2">
      <c r="A21" s="17" t="s">
        <v>46</v>
      </c>
    </row>
    <row r="22" spans="1:2" ht="15" x14ac:dyDescent="0.2">
      <c r="A22" s="17" t="s">
        <v>47</v>
      </c>
    </row>
    <row r="23" spans="1:2" ht="15" x14ac:dyDescent="0.2">
      <c r="A23" s="17" t="s">
        <v>48</v>
      </c>
    </row>
    <row r="24" spans="1:2" ht="15" x14ac:dyDescent="0.2">
      <c r="A24" s="17" t="s">
        <v>49</v>
      </c>
    </row>
    <row r="25" spans="1:2" ht="18.75" x14ac:dyDescent="0.2">
      <c r="A25" s="16" t="s">
        <v>50</v>
      </c>
    </row>
    <row r="26" spans="1:2" ht="15" x14ac:dyDescent="0.2">
      <c r="A26" s="17" t="s">
        <v>51</v>
      </c>
    </row>
    <row r="27" spans="1:2" x14ac:dyDescent="0.2">
      <c r="A27" s="15" t="s">
        <v>52</v>
      </c>
    </row>
    <row r="28" spans="1:2" x14ac:dyDescent="0.2">
      <c r="A28" s="15" t="s">
        <v>53</v>
      </c>
    </row>
    <row r="29" spans="1:2" ht="16.899999999999999" customHeight="1" x14ac:dyDescent="0.2">
      <c r="A29" s="17" t="s">
        <v>54</v>
      </c>
    </row>
    <row r="30" spans="1:2" ht="16.899999999999999" customHeight="1" x14ac:dyDescent="0.2">
      <c r="A30" s="17" t="s">
        <v>55</v>
      </c>
    </row>
    <row r="31" spans="1:2" x14ac:dyDescent="0.2">
      <c r="A31" s="14" t="s">
        <v>56</v>
      </c>
      <c r="B31" s="15" t="s">
        <v>57</v>
      </c>
    </row>
    <row r="32" spans="1:2" x14ac:dyDescent="0.2">
      <c r="A32" s="14" t="s">
        <v>58</v>
      </c>
      <c r="B32" s="15" t="s">
        <v>59</v>
      </c>
    </row>
    <row r="33" spans="1:2" x14ac:dyDescent="0.2">
      <c r="A33" s="14" t="s">
        <v>60</v>
      </c>
      <c r="B33" s="15" t="s">
        <v>61</v>
      </c>
    </row>
    <row r="34" spans="1:2" x14ac:dyDescent="0.2">
      <c r="A34" s="14" t="s">
        <v>62</v>
      </c>
      <c r="B34" s="15" t="s">
        <v>63</v>
      </c>
    </row>
    <row r="35" spans="1:2" x14ac:dyDescent="0.2">
      <c r="A35" s="14" t="s">
        <v>64</v>
      </c>
      <c r="B35" s="15" t="s">
        <v>65</v>
      </c>
    </row>
    <row r="36" spans="1:2" x14ac:dyDescent="0.2">
      <c r="A36" s="14" t="s">
        <v>66</v>
      </c>
      <c r="B36" s="15" t="s">
        <v>67</v>
      </c>
    </row>
    <row r="37" spans="1:2" x14ac:dyDescent="0.2">
      <c r="A37" s="14" t="s">
        <v>68</v>
      </c>
      <c r="B37" s="15" t="s">
        <v>69</v>
      </c>
    </row>
    <row r="38" spans="1:2" x14ac:dyDescent="0.2">
      <c r="A38" s="15" t="s">
        <v>70</v>
      </c>
      <c r="B38" s="15" t="s">
        <v>71</v>
      </c>
    </row>
    <row r="39" spans="1:2" x14ac:dyDescent="0.2">
      <c r="A39" s="14" t="s">
        <v>72</v>
      </c>
      <c r="B39" s="15" t="s">
        <v>73</v>
      </c>
    </row>
    <row r="40" spans="1:2" x14ac:dyDescent="0.2">
      <c r="A40" s="14" t="s">
        <v>123</v>
      </c>
      <c r="B40" s="41" t="s">
        <v>124</v>
      </c>
    </row>
    <row r="41" spans="1:2" x14ac:dyDescent="0.2">
      <c r="A41" s="14" t="s">
        <v>125</v>
      </c>
      <c r="B41" s="15" t="s">
        <v>126</v>
      </c>
    </row>
    <row r="42" spans="1:2" x14ac:dyDescent="0.2">
      <c r="A42" s="14" t="s">
        <v>127</v>
      </c>
      <c r="B42" s="15" t="s">
        <v>128</v>
      </c>
    </row>
    <row r="43" spans="1:2" x14ac:dyDescent="0.2">
      <c r="A43" s="14" t="s">
        <v>3</v>
      </c>
      <c r="B43" s="15" t="s">
        <v>129</v>
      </c>
    </row>
    <row r="44" spans="1:2" x14ac:dyDescent="0.2">
      <c r="A44" s="14" t="s">
        <v>130</v>
      </c>
      <c r="B44" s="15" t="s">
        <v>131</v>
      </c>
    </row>
    <row r="45" spans="1:2" x14ac:dyDescent="0.2">
      <c r="A45" s="15" t="s">
        <v>132</v>
      </c>
      <c r="B45" s="15" t="s">
        <v>133</v>
      </c>
    </row>
    <row r="46" spans="1:2" x14ac:dyDescent="0.2">
      <c r="A46" s="14" t="s">
        <v>134</v>
      </c>
      <c r="B46" s="41" t="s">
        <v>135</v>
      </c>
    </row>
    <row r="47" spans="1:2" x14ac:dyDescent="0.2">
      <c r="A47" s="14"/>
    </row>
    <row r="48" spans="1:2" x14ac:dyDescent="0.2">
      <c r="A48" s="14"/>
    </row>
    <row r="49" spans="1:4" x14ac:dyDescent="0.2">
      <c r="A49" s="14"/>
    </row>
    <row r="50" spans="1:4" x14ac:dyDescent="0.2">
      <c r="A50" s="14"/>
    </row>
    <row r="51" spans="1:4" x14ac:dyDescent="0.2">
      <c r="A51" s="14"/>
    </row>
    <row r="52" spans="1:4" x14ac:dyDescent="0.2">
      <c r="A52" s="14"/>
    </row>
    <row r="53" spans="1:4" x14ac:dyDescent="0.2">
      <c r="A53" s="19"/>
      <c r="B53" s="19"/>
    </row>
    <row r="54" spans="1:4" x14ac:dyDescent="0.2">
      <c r="A54" s="14"/>
    </row>
    <row r="55" spans="1:4" x14ac:dyDescent="0.2">
      <c r="A55" s="14"/>
      <c r="B55" s="20"/>
      <c r="C55" s="21"/>
      <c r="D55" s="21"/>
    </row>
    <row r="56" spans="1:4" x14ac:dyDescent="0.2">
      <c r="A56" s="14"/>
      <c r="B56" s="20"/>
      <c r="C56" s="21"/>
      <c r="D56" s="21"/>
    </row>
    <row r="58" spans="1:4" x14ac:dyDescent="0.2">
      <c r="B58" s="19"/>
    </row>
  </sheetData>
  <conditionalFormatting sqref="C56">
    <cfRule type="cellIs" dxfId="0" priority="1" stopIfTrue="1" operator="between">
      <formula>-999.899999999999</formula>
      <formula>-40</formula>
    </cfRule>
  </conditionalFormatting>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B9BFF-B64D-4BBE-8461-43AC319CD453}">
  <dimension ref="A1:H17"/>
  <sheetViews>
    <sheetView workbookViewId="0">
      <selection activeCell="B12" sqref="B12"/>
    </sheetView>
  </sheetViews>
  <sheetFormatPr defaultColWidth="8.85546875" defaultRowHeight="15" x14ac:dyDescent="0.2"/>
  <cols>
    <col min="1" max="1" width="28.7109375" style="28" customWidth="1"/>
    <col min="2" max="2" width="31.140625" style="28" customWidth="1"/>
    <col min="3" max="3" width="53.85546875" style="23" customWidth="1"/>
    <col min="4" max="4" width="20.42578125" style="23" customWidth="1"/>
    <col min="5" max="5" width="8.85546875" style="23"/>
    <col min="6" max="6" width="13.7109375" style="23" customWidth="1"/>
    <col min="7" max="7" width="12.85546875" style="23" customWidth="1"/>
    <col min="8" max="8" width="22.42578125" style="23" customWidth="1"/>
    <col min="9" max="16384" width="8.85546875" style="23"/>
  </cols>
  <sheetData>
    <row r="1" spans="1:8" ht="45" x14ac:dyDescent="0.2">
      <c r="A1" s="22" t="s">
        <v>74</v>
      </c>
      <c r="B1" s="22" t="s">
        <v>75</v>
      </c>
      <c r="C1" s="22" t="s">
        <v>76</v>
      </c>
      <c r="D1" s="22" t="s">
        <v>77</v>
      </c>
      <c r="E1" s="22" t="s">
        <v>78</v>
      </c>
      <c r="F1" s="22" t="s">
        <v>79</v>
      </c>
      <c r="G1" s="22" t="s">
        <v>80</v>
      </c>
      <c r="H1" s="22" t="s">
        <v>81</v>
      </c>
    </row>
    <row r="2" spans="1:8" x14ac:dyDescent="0.2">
      <c r="A2" s="14" t="s">
        <v>137</v>
      </c>
      <c r="B2" s="49" t="s">
        <v>82</v>
      </c>
      <c r="C2" s="25" t="s">
        <v>83</v>
      </c>
      <c r="D2" s="26" t="s">
        <v>84</v>
      </c>
      <c r="E2" s="15">
        <v>10</v>
      </c>
      <c r="F2" s="15"/>
      <c r="G2" s="15" t="s">
        <v>85</v>
      </c>
      <c r="H2" s="15" t="s">
        <v>86</v>
      </c>
    </row>
    <row r="3" spans="1:8" x14ac:dyDescent="0.2">
      <c r="A3" s="14" t="s">
        <v>137</v>
      </c>
      <c r="B3" s="50" t="s">
        <v>87</v>
      </c>
      <c r="C3" s="25" t="s">
        <v>88</v>
      </c>
      <c r="D3" s="25" t="s">
        <v>89</v>
      </c>
      <c r="E3" s="15">
        <v>3</v>
      </c>
      <c r="F3" s="15" t="s">
        <v>90</v>
      </c>
      <c r="G3" s="15" t="s">
        <v>85</v>
      </c>
      <c r="H3" s="15" t="s">
        <v>86</v>
      </c>
    </row>
    <row r="4" spans="1:8" ht="76.5" x14ac:dyDescent="0.2">
      <c r="A4" s="14" t="s">
        <v>137</v>
      </c>
      <c r="B4" s="50" t="s">
        <v>58</v>
      </c>
      <c r="C4" s="25" t="s">
        <v>122</v>
      </c>
      <c r="D4" s="25" t="s">
        <v>91</v>
      </c>
      <c r="E4" s="15" t="s">
        <v>92</v>
      </c>
      <c r="F4" s="15"/>
      <c r="G4" s="15" t="s">
        <v>85</v>
      </c>
      <c r="H4" s="15" t="s">
        <v>86</v>
      </c>
    </row>
    <row r="5" spans="1:8" ht="51" x14ac:dyDescent="0.2">
      <c r="A5" s="14" t="s">
        <v>137</v>
      </c>
      <c r="B5" s="52" t="s">
        <v>168</v>
      </c>
      <c r="C5" s="25" t="s">
        <v>160</v>
      </c>
      <c r="D5" s="25" t="s">
        <v>93</v>
      </c>
      <c r="E5" s="15" t="s">
        <v>92</v>
      </c>
      <c r="F5" s="15"/>
      <c r="G5" s="15" t="s">
        <v>85</v>
      </c>
      <c r="H5" s="15" t="s">
        <v>86</v>
      </c>
    </row>
    <row r="6" spans="1:8" x14ac:dyDescent="0.2">
      <c r="A6" s="14" t="s">
        <v>137</v>
      </c>
      <c r="B6" s="52" t="s">
        <v>167</v>
      </c>
      <c r="C6" s="25" t="s">
        <v>94</v>
      </c>
      <c r="D6" s="25" t="s">
        <v>93</v>
      </c>
      <c r="E6" s="15"/>
      <c r="F6" s="15"/>
      <c r="G6" s="15" t="s">
        <v>85</v>
      </c>
      <c r="H6" s="15" t="s">
        <v>86</v>
      </c>
    </row>
    <row r="7" spans="1:8" x14ac:dyDescent="0.2">
      <c r="A7" s="14" t="s">
        <v>137</v>
      </c>
      <c r="B7" s="52" t="s">
        <v>166</v>
      </c>
      <c r="C7" s="25" t="s">
        <v>95</v>
      </c>
      <c r="D7" s="25" t="s">
        <v>93</v>
      </c>
      <c r="E7" s="15"/>
      <c r="F7" s="15"/>
      <c r="G7" s="15" t="s">
        <v>85</v>
      </c>
      <c r="H7" s="15" t="s">
        <v>86</v>
      </c>
    </row>
    <row r="8" spans="1:8" ht="25.5" x14ac:dyDescent="0.2">
      <c r="A8" s="14" t="s">
        <v>137</v>
      </c>
      <c r="B8" s="52" t="s">
        <v>165</v>
      </c>
      <c r="C8" s="25" t="s">
        <v>96</v>
      </c>
      <c r="D8" s="25" t="s">
        <v>93</v>
      </c>
      <c r="E8" s="15"/>
      <c r="F8" s="15" t="s">
        <v>97</v>
      </c>
      <c r="G8" s="15" t="s">
        <v>85</v>
      </c>
      <c r="H8" s="15" t="s">
        <v>86</v>
      </c>
    </row>
    <row r="9" spans="1:8" x14ac:dyDescent="0.2">
      <c r="A9" s="14" t="s">
        <v>137</v>
      </c>
      <c r="B9" s="52" t="s">
        <v>164</v>
      </c>
      <c r="C9" s="25" t="s">
        <v>98</v>
      </c>
      <c r="D9" s="25" t="s">
        <v>93</v>
      </c>
      <c r="E9" s="15"/>
      <c r="F9" s="15"/>
      <c r="G9" s="15" t="s">
        <v>85</v>
      </c>
      <c r="H9" s="15" t="s">
        <v>86</v>
      </c>
    </row>
    <row r="10" spans="1:8" x14ac:dyDescent="0.2">
      <c r="A10" s="14" t="s">
        <v>137</v>
      </c>
      <c r="B10" s="52" t="s">
        <v>163</v>
      </c>
      <c r="C10" s="25" t="s">
        <v>99</v>
      </c>
      <c r="D10" s="25" t="s">
        <v>93</v>
      </c>
      <c r="E10" s="15"/>
      <c r="F10" s="15"/>
      <c r="G10" s="15" t="s">
        <v>85</v>
      </c>
      <c r="H10" s="15" t="s">
        <v>86</v>
      </c>
    </row>
    <row r="11" spans="1:8" ht="25.5" x14ac:dyDescent="0.2">
      <c r="A11" s="14" t="s">
        <v>137</v>
      </c>
      <c r="B11" s="51" t="s">
        <v>162</v>
      </c>
      <c r="C11" s="25" t="s">
        <v>100</v>
      </c>
      <c r="D11" s="25" t="s">
        <v>93</v>
      </c>
      <c r="E11" s="15"/>
      <c r="F11" s="15"/>
      <c r="G11" s="15" t="s">
        <v>85</v>
      </c>
      <c r="H11" s="15" t="s">
        <v>101</v>
      </c>
    </row>
    <row r="12" spans="1:8" ht="25.5" x14ac:dyDescent="0.2">
      <c r="A12" s="14" t="s">
        <v>137</v>
      </c>
      <c r="B12" s="51" t="s">
        <v>161</v>
      </c>
      <c r="C12" s="25" t="s">
        <v>102</v>
      </c>
      <c r="D12" s="25" t="s">
        <v>93</v>
      </c>
      <c r="E12" s="15"/>
      <c r="F12" s="15"/>
      <c r="G12" s="15" t="s">
        <v>85</v>
      </c>
      <c r="H12" s="15" t="s">
        <v>101</v>
      </c>
    </row>
    <row r="13" spans="1:8" x14ac:dyDescent="0.2">
      <c r="A13" s="14" t="s">
        <v>137</v>
      </c>
      <c r="B13" s="51" t="s">
        <v>5</v>
      </c>
      <c r="C13" s="25" t="s">
        <v>68</v>
      </c>
      <c r="D13" s="25" t="s">
        <v>93</v>
      </c>
      <c r="E13" s="15"/>
      <c r="F13" s="15"/>
      <c r="G13" s="15" t="s">
        <v>85</v>
      </c>
      <c r="H13" s="15" t="s">
        <v>86</v>
      </c>
    </row>
    <row r="14" spans="1:8" x14ac:dyDescent="0.2">
      <c r="A14" s="14" t="s">
        <v>137</v>
      </c>
      <c r="B14" s="50" t="s">
        <v>103</v>
      </c>
      <c r="C14" s="25" t="s">
        <v>104</v>
      </c>
      <c r="D14" s="25" t="s">
        <v>89</v>
      </c>
      <c r="E14" s="15">
        <v>1</v>
      </c>
      <c r="F14" s="15" t="s">
        <v>105</v>
      </c>
      <c r="G14" s="15" t="s">
        <v>85</v>
      </c>
      <c r="H14" s="15" t="s">
        <v>86</v>
      </c>
    </row>
    <row r="15" spans="1:8" x14ac:dyDescent="0.2">
      <c r="A15" s="14"/>
      <c r="B15" s="27"/>
      <c r="C15" s="25"/>
      <c r="D15" s="25"/>
      <c r="E15" s="15"/>
      <c r="F15" s="15"/>
      <c r="G15" s="15"/>
      <c r="H15" s="15"/>
    </row>
    <row r="16" spans="1:8" x14ac:dyDescent="0.2">
      <c r="A16" s="14"/>
      <c r="B16" s="27"/>
      <c r="C16" s="25"/>
      <c r="D16" s="25"/>
      <c r="E16" s="15"/>
      <c r="F16" s="15"/>
      <c r="G16" s="15"/>
      <c r="H16" s="15"/>
    </row>
    <row r="17" spans="1:8" x14ac:dyDescent="0.2">
      <c r="A17" s="14"/>
      <c r="B17" s="27"/>
      <c r="C17" s="25"/>
      <c r="D17" s="25"/>
      <c r="E17" s="15"/>
      <c r="F17" s="15"/>
      <c r="G17" s="15"/>
      <c r="H17" s="15"/>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7"/>
  <sheetViews>
    <sheetView zoomScaleNormal="100" workbookViewId="0">
      <selection activeCell="D90" sqref="D90"/>
    </sheetView>
  </sheetViews>
  <sheetFormatPr defaultRowHeight="12.75" x14ac:dyDescent="0.2"/>
  <cols>
    <col min="1" max="1" width="10.28515625" style="34" bestFit="1" customWidth="1"/>
    <col min="2" max="2" width="12.28515625" customWidth="1"/>
    <col min="3" max="3" width="13.5703125" customWidth="1"/>
    <col min="5" max="5" width="12.85546875" customWidth="1"/>
    <col min="6" max="6" width="14.7109375" customWidth="1"/>
    <col min="7" max="7" width="13.42578125" customWidth="1"/>
    <col min="8" max="8" width="15.28515625" customWidth="1"/>
    <col min="9" max="9" width="15.5703125" customWidth="1"/>
    <col min="10" max="10" width="15.28515625" customWidth="1"/>
    <col min="11" max="11" width="12.28515625" customWidth="1"/>
  </cols>
  <sheetData>
    <row r="1" spans="1:13" s="30" customFormat="1" ht="47.25" x14ac:dyDescent="0.25">
      <c r="A1" s="35" t="s">
        <v>82</v>
      </c>
      <c r="B1" s="30" t="s">
        <v>87</v>
      </c>
      <c r="C1" s="30" t="s">
        <v>58</v>
      </c>
      <c r="D1" s="31" t="s">
        <v>168</v>
      </c>
      <c r="E1" s="31" t="s">
        <v>167</v>
      </c>
      <c r="F1" s="32" t="s">
        <v>166</v>
      </c>
      <c r="G1" s="32" t="s">
        <v>165</v>
      </c>
      <c r="H1" s="32" t="s">
        <v>164</v>
      </c>
      <c r="I1" s="32" t="s">
        <v>163</v>
      </c>
      <c r="J1" s="31" t="s">
        <v>162</v>
      </c>
      <c r="K1" s="31" t="s">
        <v>161</v>
      </c>
      <c r="L1" s="31" t="s">
        <v>5</v>
      </c>
      <c r="M1" s="30" t="s">
        <v>103</v>
      </c>
    </row>
    <row r="2" spans="1:13" x14ac:dyDescent="0.2">
      <c r="A2" s="34">
        <v>36291</v>
      </c>
      <c r="B2">
        <v>131</v>
      </c>
      <c r="C2" s="5" t="s">
        <v>14</v>
      </c>
      <c r="D2" s="5">
        <f>(43+42+37+44+39)/5</f>
        <v>41</v>
      </c>
      <c r="E2" s="6">
        <v>1760.7</v>
      </c>
      <c r="F2" s="5">
        <v>102.2</v>
      </c>
      <c r="G2" s="5">
        <v>1401.76</v>
      </c>
      <c r="H2" s="5">
        <v>12.7</v>
      </c>
      <c r="I2" s="5">
        <v>9.6999999999999993</v>
      </c>
      <c r="J2" s="5">
        <v>333.7</v>
      </c>
      <c r="K2" s="6">
        <f>SUM(H2:J2)</f>
        <v>356.09999999999997</v>
      </c>
      <c r="L2" s="7">
        <f>(E2*G2/F2)/10000</f>
        <v>2.4149499334637965</v>
      </c>
      <c r="M2" s="33">
        <v>2</v>
      </c>
    </row>
    <row r="3" spans="1:13" x14ac:dyDescent="0.2">
      <c r="A3" s="34">
        <v>36291</v>
      </c>
      <c r="B3">
        <v>131</v>
      </c>
      <c r="C3" t="s">
        <v>15</v>
      </c>
      <c r="D3">
        <f>(25+23+27+27+28)/5</f>
        <v>26</v>
      </c>
      <c r="E3" s="3">
        <v>912</v>
      </c>
      <c r="F3">
        <v>95.7</v>
      </c>
      <c r="G3">
        <v>1205.1500000000001</v>
      </c>
      <c r="H3">
        <v>9.6999999999999993</v>
      </c>
      <c r="I3">
        <v>8.1</v>
      </c>
      <c r="J3">
        <v>158.30000000000001</v>
      </c>
      <c r="K3" s="2">
        <f>SUM(H3:J3)</f>
        <v>176.10000000000002</v>
      </c>
      <c r="L3" s="10">
        <f>(E3*G3/F3)/10000</f>
        <v>1.1484815047021943</v>
      </c>
      <c r="M3" s="33">
        <v>2</v>
      </c>
    </row>
    <row r="4" spans="1:13" x14ac:dyDescent="0.2">
      <c r="A4" s="34">
        <v>36291</v>
      </c>
      <c r="B4">
        <v>131</v>
      </c>
      <c r="C4" t="s">
        <v>16</v>
      </c>
      <c r="D4">
        <f>(33+32+33+31+31)/5</f>
        <v>32</v>
      </c>
      <c r="E4" s="3">
        <v>1263.8</v>
      </c>
      <c r="F4">
        <v>102</v>
      </c>
      <c r="G4">
        <v>1352.95</v>
      </c>
      <c r="H4">
        <v>10.3</v>
      </c>
      <c r="I4">
        <v>9.8000000000000007</v>
      </c>
      <c r="J4">
        <v>231.1</v>
      </c>
      <c r="K4" s="2">
        <f>SUM(H4:J4)</f>
        <v>251.2</v>
      </c>
      <c r="L4" s="10">
        <f>(E4*G4/F4)/10000</f>
        <v>1.6763315784313726</v>
      </c>
      <c r="M4" s="33">
        <v>2</v>
      </c>
    </row>
    <row r="5" spans="1:13" x14ac:dyDescent="0.2">
      <c r="A5" s="34">
        <v>36291</v>
      </c>
      <c r="B5">
        <v>131</v>
      </c>
      <c r="C5" t="s">
        <v>17</v>
      </c>
      <c r="D5">
        <f>(39+42+40+43+39)/5</f>
        <v>40.6</v>
      </c>
      <c r="E5" s="3">
        <v>1717.4</v>
      </c>
      <c r="F5">
        <v>100.8</v>
      </c>
      <c r="G5">
        <v>1614.54</v>
      </c>
      <c r="H5">
        <v>12</v>
      </c>
      <c r="I5">
        <v>8</v>
      </c>
      <c r="J5">
        <v>321.2</v>
      </c>
      <c r="K5" s="2">
        <f>SUM(H5:J5)</f>
        <v>341.2</v>
      </c>
      <c r="L5" s="10">
        <f>(E5*G5/F5)/10000</f>
        <v>2.75080455952381</v>
      </c>
      <c r="M5" s="33">
        <v>2</v>
      </c>
    </row>
    <row r="6" spans="1:13" x14ac:dyDescent="0.2">
      <c r="A6" s="34">
        <v>36291</v>
      </c>
      <c r="B6">
        <v>131</v>
      </c>
      <c r="C6" s="36" t="s">
        <v>110</v>
      </c>
      <c r="D6">
        <f>(25+24+26+26+29)/5</f>
        <v>26</v>
      </c>
      <c r="E6" t="e">
        <v>#N/A</v>
      </c>
      <c r="F6" t="e">
        <v>#N/A</v>
      </c>
      <c r="G6" t="e">
        <v>#N/A</v>
      </c>
      <c r="H6" t="e">
        <v>#N/A</v>
      </c>
      <c r="I6" t="e">
        <v>#N/A</v>
      </c>
      <c r="J6" t="e">
        <v>#N/A</v>
      </c>
      <c r="K6" t="e">
        <v>#N/A</v>
      </c>
      <c r="L6" t="e">
        <v>#N/A</v>
      </c>
      <c r="M6" s="33">
        <v>2</v>
      </c>
    </row>
    <row r="7" spans="1:13" x14ac:dyDescent="0.2">
      <c r="A7" s="34">
        <v>36291</v>
      </c>
      <c r="B7">
        <v>131</v>
      </c>
      <c r="C7" t="s">
        <v>8</v>
      </c>
      <c r="D7">
        <f>(32+33+28+28+31)/5</f>
        <v>30.4</v>
      </c>
      <c r="E7" s="3">
        <v>1075.8</v>
      </c>
      <c r="F7">
        <v>102.1</v>
      </c>
      <c r="G7">
        <v>1373.06</v>
      </c>
      <c r="H7">
        <v>9.8000000000000007</v>
      </c>
      <c r="I7">
        <v>8.6</v>
      </c>
      <c r="J7">
        <v>183.9</v>
      </c>
      <c r="K7" s="3">
        <f>SUM(H7:J7)</f>
        <v>202.3</v>
      </c>
      <c r="L7" s="10">
        <f>(E7*G7/F7)/10000</f>
        <v>1.4467560705190989</v>
      </c>
      <c r="M7" s="33">
        <v>2</v>
      </c>
    </row>
    <row r="8" spans="1:13" x14ac:dyDescent="0.2">
      <c r="A8" s="34">
        <v>36291</v>
      </c>
      <c r="B8">
        <v>131</v>
      </c>
      <c r="C8" t="s">
        <v>9</v>
      </c>
      <c r="D8">
        <f>(37+40+36+39+36)/5</f>
        <v>37.6</v>
      </c>
      <c r="E8" s="3">
        <v>1632.4</v>
      </c>
      <c r="F8">
        <v>101.8</v>
      </c>
      <c r="G8">
        <v>1361.04</v>
      </c>
      <c r="H8">
        <v>11</v>
      </c>
      <c r="I8">
        <v>9.1999999999999993</v>
      </c>
      <c r="J8">
        <v>300</v>
      </c>
      <c r="K8" s="3">
        <f>SUM(H8:J8)</f>
        <v>320.2</v>
      </c>
      <c r="L8" s="10">
        <f>(E8*G8/F8)/10000</f>
        <v>2.1824771080550098</v>
      </c>
      <c r="M8" s="33">
        <v>2</v>
      </c>
    </row>
    <row r="9" spans="1:13" x14ac:dyDescent="0.2">
      <c r="A9" s="34">
        <v>36291</v>
      </c>
      <c r="B9">
        <v>131</v>
      </c>
      <c r="C9" t="s">
        <v>10</v>
      </c>
      <c r="D9">
        <f>(37+35+34+31+36)/5</f>
        <v>34.6</v>
      </c>
      <c r="E9" s="3">
        <v>1278.8</v>
      </c>
      <c r="F9">
        <v>102.9</v>
      </c>
      <c r="G9">
        <v>1528.44</v>
      </c>
      <c r="H9">
        <v>11.1</v>
      </c>
      <c r="I9">
        <v>11.1</v>
      </c>
      <c r="J9">
        <v>240.3</v>
      </c>
      <c r="K9" s="3">
        <f>SUM(H9:J9)</f>
        <v>262.5</v>
      </c>
      <c r="L9" s="10">
        <f>(E9*G9/F9)/10000</f>
        <v>1.8994840349854225</v>
      </c>
      <c r="M9" s="33">
        <v>2</v>
      </c>
    </row>
    <row r="10" spans="1:13" x14ac:dyDescent="0.2">
      <c r="A10" s="34">
        <v>36291</v>
      </c>
      <c r="B10">
        <v>131</v>
      </c>
      <c r="C10" t="s">
        <v>11</v>
      </c>
      <c r="D10">
        <f>(31+32+31+31+29)/5</f>
        <v>30.8</v>
      </c>
      <c r="E10" s="3">
        <v>1249.7</v>
      </c>
      <c r="F10">
        <v>101.1</v>
      </c>
      <c r="G10">
        <v>1479.21</v>
      </c>
      <c r="H10">
        <v>10.8</v>
      </c>
      <c r="I10">
        <v>10.1</v>
      </c>
      <c r="J10">
        <v>241</v>
      </c>
      <c r="K10" s="3">
        <f>SUM(H10:J10)</f>
        <v>261.89999999999998</v>
      </c>
      <c r="L10" s="10">
        <f>(E10*G10/F10)/10000</f>
        <v>1.8284557240356087</v>
      </c>
      <c r="M10" s="33">
        <v>2</v>
      </c>
    </row>
    <row r="11" spans="1:13" x14ac:dyDescent="0.2">
      <c r="A11" s="34">
        <v>36291</v>
      </c>
      <c r="B11">
        <v>131</v>
      </c>
      <c r="C11" s="36" t="s">
        <v>111</v>
      </c>
      <c r="D11">
        <f>(32+33+29+29+27)/5</f>
        <v>30</v>
      </c>
      <c r="E11" t="e">
        <v>#N/A</v>
      </c>
      <c r="F11" t="e">
        <v>#N/A</v>
      </c>
      <c r="G11" t="e">
        <v>#N/A</v>
      </c>
      <c r="H11" t="e">
        <v>#N/A</v>
      </c>
      <c r="I11" t="e">
        <v>#N/A</v>
      </c>
      <c r="J11" t="e">
        <v>#N/A</v>
      </c>
      <c r="K11" t="e">
        <v>#N/A</v>
      </c>
      <c r="L11" t="e">
        <v>#N/A</v>
      </c>
      <c r="M11" s="33">
        <v>2</v>
      </c>
    </row>
    <row r="12" spans="1:13" x14ac:dyDescent="0.2">
      <c r="A12" s="34">
        <v>36313</v>
      </c>
      <c r="B12">
        <v>153</v>
      </c>
      <c r="C12" s="5" t="s">
        <v>14</v>
      </c>
      <c r="D12" s="5">
        <f>(64+63+62+62+64)/5</f>
        <v>63</v>
      </c>
      <c r="E12" s="6">
        <v>2371.9</v>
      </c>
      <c r="F12" s="5">
        <v>186.8</v>
      </c>
      <c r="G12" s="5">
        <v>2257.2199999999998</v>
      </c>
      <c r="H12" s="5">
        <v>24.3</v>
      </c>
      <c r="I12" s="5">
        <v>16.600000000000001</v>
      </c>
      <c r="J12" s="5">
        <v>466.9</v>
      </c>
      <c r="K12" s="6">
        <f>SUM(H12:J12)</f>
        <v>507.79999999999995</v>
      </c>
      <c r="L12" s="7">
        <f>(E12*G12/F12)/10000</f>
        <v>2.8661135535331903</v>
      </c>
      <c r="M12" s="33">
        <v>4</v>
      </c>
    </row>
    <row r="13" spans="1:13" x14ac:dyDescent="0.2">
      <c r="A13" s="34">
        <v>36313</v>
      </c>
      <c r="B13">
        <v>153</v>
      </c>
      <c r="C13" t="s">
        <v>15</v>
      </c>
      <c r="D13">
        <f>(64+65+63+61+65)/5</f>
        <v>63.6</v>
      </c>
      <c r="E13" s="3">
        <v>2246.4</v>
      </c>
      <c r="F13">
        <v>182.1</v>
      </c>
      <c r="G13">
        <v>2118.83</v>
      </c>
      <c r="H13">
        <v>21.5</v>
      </c>
      <c r="I13">
        <v>14.7</v>
      </c>
      <c r="J13">
        <v>398</v>
      </c>
      <c r="K13" s="2">
        <f>SUM(H13:J13)</f>
        <v>434.2</v>
      </c>
      <c r="L13" s="10">
        <f>(E13*G13/F13)/10000</f>
        <v>2.6138054431630975</v>
      </c>
      <c r="M13" s="33">
        <v>4</v>
      </c>
    </row>
    <row r="14" spans="1:13" x14ac:dyDescent="0.2">
      <c r="A14" s="34">
        <v>36313</v>
      </c>
      <c r="B14">
        <v>153</v>
      </c>
      <c r="C14" t="s">
        <v>16</v>
      </c>
      <c r="D14">
        <f>(62+66+63+62+61)/5</f>
        <v>62.8</v>
      </c>
      <c r="E14" s="3">
        <v>2488.5</v>
      </c>
      <c r="F14">
        <v>192.4</v>
      </c>
      <c r="G14">
        <v>2692.13</v>
      </c>
      <c r="H14">
        <v>22.8</v>
      </c>
      <c r="I14">
        <v>13.7</v>
      </c>
      <c r="J14">
        <v>442.3</v>
      </c>
      <c r="K14" s="2">
        <f>SUM(H14:J14)</f>
        <v>478.8</v>
      </c>
      <c r="L14" s="10">
        <f>(E14*G14/F14)/10000</f>
        <v>3.4819987032224535</v>
      </c>
      <c r="M14" s="33">
        <v>4</v>
      </c>
    </row>
    <row r="15" spans="1:13" x14ac:dyDescent="0.2">
      <c r="A15" s="34">
        <v>36313</v>
      </c>
      <c r="B15">
        <v>153</v>
      </c>
      <c r="C15" t="s">
        <v>17</v>
      </c>
      <c r="D15">
        <f>(67+66+66+63+67)/5</f>
        <v>65.8</v>
      </c>
      <c r="E15" s="3">
        <v>2564.6</v>
      </c>
      <c r="F15">
        <v>185.5</v>
      </c>
      <c r="G15">
        <v>2369.02</v>
      </c>
      <c r="H15">
        <v>24.1</v>
      </c>
      <c r="I15">
        <v>14.3</v>
      </c>
      <c r="J15">
        <v>464.8</v>
      </c>
      <c r="K15" s="2">
        <f>SUM(H15:J15)</f>
        <v>503.20000000000005</v>
      </c>
      <c r="L15" s="10">
        <f>(E15*G15/F15)/10000</f>
        <v>3.2752499687331538</v>
      </c>
      <c r="M15" s="33">
        <v>4</v>
      </c>
    </row>
    <row r="16" spans="1:13" x14ac:dyDescent="0.2">
      <c r="A16" s="34">
        <v>36313</v>
      </c>
      <c r="B16">
        <v>153</v>
      </c>
      <c r="C16" t="s">
        <v>8</v>
      </c>
      <c r="D16">
        <f>(66+66+73+66+64)/5</f>
        <v>67</v>
      </c>
      <c r="E16" s="3">
        <v>2411.5</v>
      </c>
      <c r="F16">
        <v>194.5</v>
      </c>
      <c r="G16">
        <v>2312.09</v>
      </c>
      <c r="H16">
        <v>27.7</v>
      </c>
      <c r="I16">
        <v>16.100000000000001</v>
      </c>
      <c r="J16">
        <v>464.9</v>
      </c>
      <c r="K16" s="3">
        <f>SUM(H16:J16)</f>
        <v>508.7</v>
      </c>
      <c r="L16" s="10">
        <f>(E16*G16/F16)/10000</f>
        <v>2.8666349794344477</v>
      </c>
      <c r="M16" s="33">
        <v>4</v>
      </c>
    </row>
    <row r="17" spans="1:13" x14ac:dyDescent="0.2">
      <c r="A17" s="34">
        <v>36313</v>
      </c>
      <c r="B17">
        <v>153</v>
      </c>
      <c r="C17" t="s">
        <v>9</v>
      </c>
      <c r="D17">
        <f>(69+68+70+70+72)/5</f>
        <v>69.8</v>
      </c>
      <c r="E17" s="3">
        <v>2389.3000000000002</v>
      </c>
      <c r="F17">
        <v>172</v>
      </c>
      <c r="G17">
        <v>1891.28</v>
      </c>
      <c r="H17">
        <v>23.4</v>
      </c>
      <c r="I17">
        <v>14.1</v>
      </c>
      <c r="J17">
        <v>476.7</v>
      </c>
      <c r="K17" s="3">
        <f>SUM(H17:J17)</f>
        <v>514.20000000000005</v>
      </c>
      <c r="L17" s="10">
        <f>(E17*G17/F17)/10000</f>
        <v>2.627229827906977</v>
      </c>
      <c r="M17" s="33">
        <v>4</v>
      </c>
    </row>
    <row r="18" spans="1:13" x14ac:dyDescent="0.2">
      <c r="A18" s="34">
        <v>36313</v>
      </c>
      <c r="B18">
        <v>153</v>
      </c>
      <c r="C18" t="s">
        <v>10</v>
      </c>
      <c r="D18">
        <f>(65+70+66+67+71)/5</f>
        <v>67.8</v>
      </c>
      <c r="E18" s="3">
        <v>2136.1</v>
      </c>
      <c r="F18">
        <v>182.4</v>
      </c>
      <c r="G18">
        <v>2593.5500000000002</v>
      </c>
      <c r="H18">
        <v>20.9</v>
      </c>
      <c r="I18">
        <v>14.6</v>
      </c>
      <c r="J18">
        <v>381.5</v>
      </c>
      <c r="K18" s="3">
        <f>SUM(H18:J18)</f>
        <v>417</v>
      </c>
      <c r="L18" s="10">
        <f>(E18*G18/F18)/10000</f>
        <v>3.0373257428728069</v>
      </c>
      <c r="M18" s="33">
        <v>4</v>
      </c>
    </row>
    <row r="19" spans="1:13" x14ac:dyDescent="0.2">
      <c r="A19" s="34">
        <v>36313</v>
      </c>
      <c r="B19">
        <v>153</v>
      </c>
      <c r="C19" t="s">
        <v>11</v>
      </c>
      <c r="D19">
        <f>(70+67+69+69+68)/5</f>
        <v>68.599999999999994</v>
      </c>
      <c r="E19" s="3">
        <v>2497.1999999999998</v>
      </c>
      <c r="F19">
        <v>184.3</v>
      </c>
      <c r="G19">
        <v>2341.84</v>
      </c>
      <c r="H19">
        <v>24.9</v>
      </c>
      <c r="I19">
        <v>14</v>
      </c>
      <c r="J19">
        <v>487.4</v>
      </c>
      <c r="K19" s="3">
        <f>SUM(H19:J19)</f>
        <v>526.29999999999995</v>
      </c>
      <c r="L19" s="10">
        <f>(E19*G19/F19)/10000</f>
        <v>3.1731106066196419</v>
      </c>
      <c r="M19" s="33">
        <v>4</v>
      </c>
    </row>
    <row r="20" spans="1:13" x14ac:dyDescent="0.2">
      <c r="A20" s="34">
        <v>36333</v>
      </c>
      <c r="B20">
        <v>173</v>
      </c>
      <c r="C20" s="5" t="s">
        <v>14</v>
      </c>
      <c r="D20" s="5">
        <f>(46+48+47+44+48)/5</f>
        <v>46.6</v>
      </c>
      <c r="E20" s="6">
        <v>1705</v>
      </c>
      <c r="F20" s="5">
        <v>102.1</v>
      </c>
      <c r="G20" s="5">
        <v>1502.37</v>
      </c>
      <c r="H20" s="5">
        <v>9.8000000000000007</v>
      </c>
      <c r="I20" s="5">
        <v>6.4</v>
      </c>
      <c r="J20" s="5">
        <v>263.89999999999998</v>
      </c>
      <c r="K20" s="6">
        <f>SUM(H20:J20)</f>
        <v>280.09999999999997</v>
      </c>
      <c r="L20" s="7">
        <f>(E20*G20/F20)/10000</f>
        <v>2.5088548971596474</v>
      </c>
      <c r="M20" s="33">
        <v>3</v>
      </c>
    </row>
    <row r="21" spans="1:13" x14ac:dyDescent="0.2">
      <c r="A21" s="34">
        <v>36333</v>
      </c>
      <c r="B21">
        <v>173</v>
      </c>
      <c r="C21" t="s">
        <v>15</v>
      </c>
      <c r="D21">
        <f>(40+43+46+43+42)/5</f>
        <v>42.8</v>
      </c>
      <c r="E21" s="3">
        <v>1462.5</v>
      </c>
      <c r="F21">
        <v>100.7</v>
      </c>
      <c r="G21">
        <v>1548.99</v>
      </c>
      <c r="H21">
        <v>10.1</v>
      </c>
      <c r="I21">
        <v>6.7</v>
      </c>
      <c r="J21">
        <v>223.5</v>
      </c>
      <c r="K21" s="2">
        <f>SUM(H21:J21)</f>
        <v>240.3</v>
      </c>
      <c r="L21" s="10">
        <f>(E21*G21/F21)/10000</f>
        <v>2.2496503227408144</v>
      </c>
      <c r="M21" s="33">
        <v>3</v>
      </c>
    </row>
    <row r="22" spans="1:13" x14ac:dyDescent="0.2">
      <c r="A22" s="34">
        <v>36333</v>
      </c>
      <c r="B22">
        <v>173</v>
      </c>
      <c r="C22" t="s">
        <v>16</v>
      </c>
      <c r="D22">
        <f>(44+42+45+45+43)/5</f>
        <v>43.8</v>
      </c>
      <c r="E22" s="3">
        <v>1326.7</v>
      </c>
      <c r="F22">
        <v>103.3</v>
      </c>
      <c r="G22">
        <v>1814.98</v>
      </c>
      <c r="H22">
        <v>10.3</v>
      </c>
      <c r="I22">
        <v>7</v>
      </c>
      <c r="J22">
        <v>195.8</v>
      </c>
      <c r="K22" s="2">
        <f>SUM(H22:J22)</f>
        <v>213.10000000000002</v>
      </c>
      <c r="L22" s="10">
        <f>(E22*G22/F22)/10000</f>
        <v>2.3310106156824784</v>
      </c>
      <c r="M22" s="33">
        <v>3</v>
      </c>
    </row>
    <row r="23" spans="1:13" x14ac:dyDescent="0.2">
      <c r="A23" s="34">
        <v>36333</v>
      </c>
      <c r="B23">
        <v>173</v>
      </c>
      <c r="C23" t="s">
        <v>17</v>
      </c>
      <c r="D23">
        <f>(48+50+46+46+46)/5</f>
        <v>47.2</v>
      </c>
      <c r="E23" s="3">
        <v>1535.2</v>
      </c>
      <c r="F23">
        <v>101.8</v>
      </c>
      <c r="G23">
        <v>1713.49</v>
      </c>
      <c r="H23">
        <v>9.3000000000000007</v>
      </c>
      <c r="I23">
        <v>7.4</v>
      </c>
      <c r="J23">
        <v>223.7</v>
      </c>
      <c r="K23" s="2">
        <f>SUM(H23:J23)</f>
        <v>240.39999999999998</v>
      </c>
      <c r="L23" s="10">
        <f>(E23*G23/F23)/10000</f>
        <v>2.5840371787819256</v>
      </c>
      <c r="M23" s="33">
        <v>3</v>
      </c>
    </row>
    <row r="24" spans="1:13" x14ac:dyDescent="0.2">
      <c r="A24" s="34">
        <v>36333</v>
      </c>
      <c r="B24">
        <v>173</v>
      </c>
      <c r="C24" s="36" t="s">
        <v>108</v>
      </c>
      <c r="D24">
        <f>(45+44+46+44+44)/5</f>
        <v>44.6</v>
      </c>
      <c r="E24" t="e">
        <v>#N/A</v>
      </c>
      <c r="F24" t="e">
        <v>#N/A</v>
      </c>
      <c r="G24" t="e">
        <v>#N/A</v>
      </c>
      <c r="H24" t="e">
        <v>#N/A</v>
      </c>
      <c r="I24" t="e">
        <v>#N/A</v>
      </c>
      <c r="J24" t="e">
        <v>#N/A</v>
      </c>
      <c r="K24" t="e">
        <v>#N/A</v>
      </c>
      <c r="L24" t="e">
        <v>#N/A</v>
      </c>
      <c r="M24" s="33">
        <v>3</v>
      </c>
    </row>
    <row r="25" spans="1:13" x14ac:dyDescent="0.2">
      <c r="A25" s="34">
        <v>36333</v>
      </c>
      <c r="B25">
        <v>173</v>
      </c>
      <c r="C25" t="s">
        <v>8</v>
      </c>
      <c r="D25">
        <f>(40+36+38+37+37)/5</f>
        <v>37.6</v>
      </c>
      <c r="E25" s="3">
        <v>1152.8</v>
      </c>
      <c r="F25">
        <v>103.5</v>
      </c>
      <c r="G25">
        <v>1757.55</v>
      </c>
      <c r="H25">
        <v>8.6</v>
      </c>
      <c r="I25">
        <v>7.5</v>
      </c>
      <c r="J25">
        <v>154.6</v>
      </c>
      <c r="K25" s="3">
        <f>SUM(H25:J25)</f>
        <v>170.7</v>
      </c>
      <c r="L25" s="10">
        <f>(E25*G25/F25)/10000</f>
        <v>1.9575880579710145</v>
      </c>
      <c r="M25" s="33">
        <v>3</v>
      </c>
    </row>
    <row r="26" spans="1:13" x14ac:dyDescent="0.2">
      <c r="A26" s="34">
        <v>36333</v>
      </c>
      <c r="B26">
        <v>173</v>
      </c>
      <c r="C26" t="s">
        <v>9</v>
      </c>
      <c r="D26">
        <f>(45+52+47+48+46)/5</f>
        <v>47.6</v>
      </c>
      <c r="E26" s="3">
        <v>1831.4</v>
      </c>
      <c r="F26">
        <v>100.7</v>
      </c>
      <c r="G26">
        <v>1544.39</v>
      </c>
      <c r="H26">
        <v>9.8000000000000007</v>
      </c>
      <c r="I26">
        <v>6.7</v>
      </c>
      <c r="J26">
        <v>286.8</v>
      </c>
      <c r="K26" s="3">
        <f>SUM(H26:J26)</f>
        <v>303.3</v>
      </c>
      <c r="L26" s="10">
        <f>(E26*G26/F26)/10000</f>
        <v>2.8087347030784513</v>
      </c>
      <c r="M26" s="33">
        <v>3</v>
      </c>
    </row>
    <row r="27" spans="1:13" x14ac:dyDescent="0.2">
      <c r="A27" s="34">
        <v>36333</v>
      </c>
      <c r="B27">
        <v>173</v>
      </c>
      <c r="C27" t="s">
        <v>10</v>
      </c>
      <c r="D27">
        <f>(41+36+36+39+39)/5</f>
        <v>38.200000000000003</v>
      </c>
      <c r="E27" s="3">
        <v>1100.8</v>
      </c>
      <c r="F27">
        <v>100.4</v>
      </c>
      <c r="G27">
        <v>1530.18</v>
      </c>
      <c r="H27">
        <v>8.3000000000000007</v>
      </c>
      <c r="I27">
        <v>6.9</v>
      </c>
      <c r="J27">
        <v>153.1</v>
      </c>
      <c r="K27" s="3">
        <f>SUM(H27:J27)</f>
        <v>168.29999999999998</v>
      </c>
      <c r="L27" s="10">
        <f>(E27*G27/F27)/10000</f>
        <v>1.6777112988047806</v>
      </c>
      <c r="M27" s="33">
        <v>3</v>
      </c>
    </row>
    <row r="28" spans="1:13" x14ac:dyDescent="0.2">
      <c r="A28" s="34">
        <v>36333</v>
      </c>
      <c r="B28">
        <v>173</v>
      </c>
      <c r="C28" t="s">
        <v>11</v>
      </c>
      <c r="D28">
        <f>(39+45+40+40+43)/5</f>
        <v>41.4</v>
      </c>
      <c r="E28" s="3">
        <v>1364.3</v>
      </c>
      <c r="F28">
        <v>103.8</v>
      </c>
      <c r="G28">
        <v>1708.29</v>
      </c>
      <c r="H28">
        <v>8.9</v>
      </c>
      <c r="I28">
        <v>7.1</v>
      </c>
      <c r="J28">
        <v>195.8</v>
      </c>
      <c r="K28" s="3">
        <f>SUM(H28:J28)</f>
        <v>211.8</v>
      </c>
      <c r="L28" s="10">
        <f>(E28*G28/F28)/10000</f>
        <v>2.2452986965317918</v>
      </c>
      <c r="M28" s="33">
        <v>3</v>
      </c>
    </row>
    <row r="29" spans="1:13" x14ac:dyDescent="0.2">
      <c r="A29" s="34">
        <v>36333</v>
      </c>
      <c r="B29">
        <v>173</v>
      </c>
      <c r="C29" s="36" t="s">
        <v>109</v>
      </c>
      <c r="D29">
        <f>(47+43+45+43+52)/5</f>
        <v>46</v>
      </c>
      <c r="E29" t="e">
        <v>#N/A</v>
      </c>
      <c r="F29" t="e">
        <v>#N/A</v>
      </c>
      <c r="G29" t="e">
        <v>#N/A</v>
      </c>
      <c r="H29" t="e">
        <v>#N/A</v>
      </c>
      <c r="I29" t="e">
        <v>#N/A</v>
      </c>
      <c r="J29" t="e">
        <v>#N/A</v>
      </c>
      <c r="K29" t="e">
        <v>#N/A</v>
      </c>
      <c r="L29" t="e">
        <v>#N/A</v>
      </c>
      <c r="M29" s="33">
        <v>3</v>
      </c>
    </row>
    <row r="30" spans="1:13" x14ac:dyDescent="0.2">
      <c r="A30" s="34">
        <v>36347</v>
      </c>
      <c r="B30">
        <v>187</v>
      </c>
      <c r="C30" s="5" t="s">
        <v>14</v>
      </c>
      <c r="D30">
        <f>(70+67+68+75+68)/5</f>
        <v>69.599999999999994</v>
      </c>
      <c r="E30" s="6">
        <v>2206.5</v>
      </c>
      <c r="F30" s="5">
        <v>160.30000000000001</v>
      </c>
      <c r="G30" s="5">
        <v>2647.15</v>
      </c>
      <c r="H30" s="5">
        <v>21.3</v>
      </c>
      <c r="I30" s="5">
        <v>12</v>
      </c>
      <c r="J30" s="5">
        <v>409.8</v>
      </c>
      <c r="K30" s="6">
        <f>SUM(H30:J30)</f>
        <v>443.1</v>
      </c>
      <c r="L30" s="7">
        <f>(E30*G30/F30)/10000</f>
        <v>3.6437532595134123</v>
      </c>
      <c r="M30" s="33">
        <v>6</v>
      </c>
    </row>
    <row r="31" spans="1:13" x14ac:dyDescent="0.2">
      <c r="A31" s="34">
        <v>36347</v>
      </c>
      <c r="B31">
        <v>187</v>
      </c>
      <c r="C31" t="s">
        <v>15</v>
      </c>
      <c r="D31">
        <f>(63+62+68+65+64)/5</f>
        <v>64.400000000000006</v>
      </c>
      <c r="E31" s="3">
        <v>1735.4</v>
      </c>
      <c r="F31">
        <v>154.80000000000001</v>
      </c>
      <c r="G31">
        <v>2337.7800000000002</v>
      </c>
      <c r="H31">
        <v>21.1</v>
      </c>
      <c r="I31">
        <v>11.1</v>
      </c>
      <c r="J31">
        <v>324.57</v>
      </c>
      <c r="K31" s="2">
        <f>SUM(H31:J31)</f>
        <v>356.77</v>
      </c>
      <c r="L31" s="10">
        <f>(E31*G31/F31)/10000</f>
        <v>2.6207903178294574</v>
      </c>
      <c r="M31" s="33">
        <v>6</v>
      </c>
    </row>
    <row r="32" spans="1:13" x14ac:dyDescent="0.2">
      <c r="A32" s="34">
        <v>36347</v>
      </c>
      <c r="B32">
        <v>187</v>
      </c>
      <c r="C32" t="s">
        <v>16</v>
      </c>
      <c r="D32" s="4">
        <f>(64+68+63+70+63)/5</f>
        <v>65.599999999999994</v>
      </c>
      <c r="E32" s="3">
        <v>1890.8</v>
      </c>
      <c r="F32">
        <v>167.6</v>
      </c>
      <c r="G32">
        <v>2713.11</v>
      </c>
      <c r="H32">
        <v>21.4</v>
      </c>
      <c r="I32">
        <v>12.2</v>
      </c>
      <c r="J32">
        <v>333.99</v>
      </c>
      <c r="K32" s="2">
        <f>SUM(H32:J32)</f>
        <v>367.59000000000003</v>
      </c>
      <c r="L32" s="10">
        <f>(E32*G32/F32)/10000</f>
        <v>3.0608283937947496</v>
      </c>
      <c r="M32" s="33">
        <v>6</v>
      </c>
    </row>
    <row r="33" spans="1:13" x14ac:dyDescent="0.2">
      <c r="A33" s="34">
        <v>36347</v>
      </c>
      <c r="B33">
        <v>187</v>
      </c>
      <c r="C33" t="s">
        <v>17</v>
      </c>
      <c r="D33">
        <f>(73+78+69+73+73)/5</f>
        <v>73.2</v>
      </c>
      <c r="E33" s="3">
        <v>2233.6999999999998</v>
      </c>
      <c r="F33">
        <v>170</v>
      </c>
      <c r="G33">
        <v>3011.73</v>
      </c>
      <c r="H33">
        <v>23.1</v>
      </c>
      <c r="I33">
        <v>13.1</v>
      </c>
      <c r="J33">
        <v>422.37</v>
      </c>
      <c r="K33" s="2">
        <f>SUM(H33:J33)</f>
        <v>458.57</v>
      </c>
      <c r="L33" s="10">
        <f>(E33*G33/F33)/10000</f>
        <v>3.9572360594117644</v>
      </c>
      <c r="M33" s="33">
        <v>6</v>
      </c>
    </row>
    <row r="34" spans="1:13" x14ac:dyDescent="0.2">
      <c r="A34" s="34">
        <v>36347</v>
      </c>
      <c r="B34">
        <v>187</v>
      </c>
      <c r="C34" t="s">
        <v>8</v>
      </c>
      <c r="D34">
        <f>(71+75+67+70+68)/5</f>
        <v>70.2</v>
      </c>
      <c r="E34" s="3">
        <v>1926.1</v>
      </c>
      <c r="F34">
        <v>169</v>
      </c>
      <c r="G34">
        <v>2552.9</v>
      </c>
      <c r="H34">
        <v>22.8</v>
      </c>
      <c r="I34">
        <v>11.3</v>
      </c>
      <c r="J34">
        <v>358.5</v>
      </c>
      <c r="K34" s="3">
        <f>SUM(H34:J34)</f>
        <v>392.6</v>
      </c>
      <c r="L34" s="10">
        <f>(E34*G34/F34)/10000</f>
        <v>2.9095507041420117</v>
      </c>
      <c r="M34" s="33">
        <v>6</v>
      </c>
    </row>
    <row r="35" spans="1:13" x14ac:dyDescent="0.2">
      <c r="A35" s="34">
        <v>36347</v>
      </c>
      <c r="B35">
        <v>187</v>
      </c>
      <c r="C35" t="s">
        <v>9</v>
      </c>
      <c r="D35">
        <f>(71+69+68+70+72)/5</f>
        <v>70</v>
      </c>
      <c r="E35" s="3">
        <v>2087.9</v>
      </c>
      <c r="F35">
        <v>158.4</v>
      </c>
      <c r="G35">
        <v>3113.45</v>
      </c>
      <c r="H35">
        <v>22.9</v>
      </c>
      <c r="I35">
        <v>12.4</v>
      </c>
      <c r="J35">
        <v>400.5</v>
      </c>
      <c r="K35" s="3">
        <f>SUM(H35:J35)</f>
        <v>435.8</v>
      </c>
      <c r="L35" s="10">
        <f>(E35*G35/F35)/10000</f>
        <v>4.1038966256313127</v>
      </c>
      <c r="M35" s="33">
        <v>6</v>
      </c>
    </row>
    <row r="36" spans="1:13" x14ac:dyDescent="0.2">
      <c r="A36" s="34">
        <v>36347</v>
      </c>
      <c r="B36">
        <v>187</v>
      </c>
      <c r="C36" t="s">
        <v>10</v>
      </c>
      <c r="D36">
        <f>(70+64+66+65+66)/5</f>
        <v>66.2</v>
      </c>
      <c r="E36" s="3">
        <v>2122.6</v>
      </c>
      <c r="F36">
        <v>165.4</v>
      </c>
      <c r="G36">
        <v>2689.72</v>
      </c>
      <c r="H36">
        <v>20.5</v>
      </c>
      <c r="I36">
        <v>14.7</v>
      </c>
      <c r="J36">
        <v>406.55</v>
      </c>
      <c r="K36" s="3">
        <f>SUM(H36:J36)</f>
        <v>441.75</v>
      </c>
      <c r="L36" s="10">
        <f>(E36*G36/F36)/10000</f>
        <v>3.4517531269649329</v>
      </c>
      <c r="M36" s="33">
        <v>6</v>
      </c>
    </row>
    <row r="37" spans="1:13" x14ac:dyDescent="0.2">
      <c r="A37" s="34">
        <v>36347</v>
      </c>
      <c r="B37">
        <v>187</v>
      </c>
      <c r="C37" t="s">
        <v>11</v>
      </c>
      <c r="D37">
        <f>(66+71+69+69+76)/5</f>
        <v>70.2</v>
      </c>
      <c r="E37" s="3">
        <v>2032.7</v>
      </c>
      <c r="F37">
        <v>173.5</v>
      </c>
      <c r="G37">
        <v>3269.16</v>
      </c>
      <c r="H37">
        <v>22.2</v>
      </c>
      <c r="I37">
        <v>13.3</v>
      </c>
      <c r="J37">
        <v>379.91</v>
      </c>
      <c r="K37" s="3">
        <f>SUM(H37:J37)</f>
        <v>415.41</v>
      </c>
      <c r="L37" s="10">
        <f>(E37*G37/F37)/10000</f>
        <v>3.8300988657060517</v>
      </c>
      <c r="M37" s="33">
        <v>6</v>
      </c>
    </row>
    <row r="38" spans="1:13" x14ac:dyDescent="0.2">
      <c r="A38" s="34">
        <v>36360</v>
      </c>
      <c r="B38">
        <v>200</v>
      </c>
      <c r="C38" s="5" t="s">
        <v>14</v>
      </c>
      <c r="D38" s="5">
        <f>(33+33+38+33+32)/5</f>
        <v>33.799999999999997</v>
      </c>
      <c r="E38" s="6">
        <v>960.4</v>
      </c>
      <c r="F38" s="5">
        <v>84.8</v>
      </c>
      <c r="G38" s="5">
        <v>1510.66</v>
      </c>
      <c r="H38" s="5">
        <v>6.7</v>
      </c>
      <c r="I38" s="5">
        <v>5.8</v>
      </c>
      <c r="J38" s="5">
        <v>124.3</v>
      </c>
      <c r="K38" s="6">
        <f>SUM(H38:J38)</f>
        <v>136.80000000000001</v>
      </c>
      <c r="L38" s="7">
        <f>(E38*G38/F38)/10000</f>
        <v>1.7108937075471697</v>
      </c>
      <c r="M38" s="33">
        <v>2</v>
      </c>
    </row>
    <row r="39" spans="1:13" x14ac:dyDescent="0.2">
      <c r="A39" s="34">
        <v>36360</v>
      </c>
      <c r="B39">
        <v>200</v>
      </c>
      <c r="C39" t="s">
        <v>15</v>
      </c>
      <c r="D39">
        <f>(33+31+32+37+29)/5</f>
        <v>32.4</v>
      </c>
      <c r="E39" s="3">
        <v>822.8</v>
      </c>
      <c r="F39">
        <v>85.4</v>
      </c>
      <c r="G39">
        <v>1561.52</v>
      </c>
      <c r="H39">
        <v>6.1</v>
      </c>
      <c r="I39">
        <v>5.9</v>
      </c>
      <c r="J39">
        <v>108</v>
      </c>
      <c r="K39" s="2">
        <f>SUM(H39:J39)</f>
        <v>120</v>
      </c>
      <c r="L39" s="10">
        <f>(E39*G39/F39)/10000</f>
        <v>1.5044714941451991</v>
      </c>
      <c r="M39" s="33">
        <v>2</v>
      </c>
    </row>
    <row r="40" spans="1:13" x14ac:dyDescent="0.2">
      <c r="A40" s="34">
        <v>36360</v>
      </c>
      <c r="B40">
        <v>200</v>
      </c>
      <c r="C40" t="s">
        <v>16</v>
      </c>
      <c r="D40">
        <f>(34+35+31+35+29)/5</f>
        <v>32.799999999999997</v>
      </c>
      <c r="E40" s="3">
        <v>870.9</v>
      </c>
      <c r="F40">
        <v>84.1</v>
      </c>
      <c r="G40">
        <v>1392</v>
      </c>
      <c r="H40">
        <v>6.6</v>
      </c>
      <c r="I40">
        <v>4.9000000000000004</v>
      </c>
      <c r="J40">
        <v>114.4</v>
      </c>
      <c r="K40" s="2">
        <f>SUM(H40:J40)</f>
        <v>125.9</v>
      </c>
      <c r="L40" s="10">
        <f>(E40*G40/F40)/10000</f>
        <v>1.4414896551724139</v>
      </c>
      <c r="M40" s="33">
        <v>2</v>
      </c>
    </row>
    <row r="41" spans="1:13" x14ac:dyDescent="0.2">
      <c r="A41" s="34">
        <v>36360</v>
      </c>
      <c r="B41">
        <v>200</v>
      </c>
      <c r="C41" t="s">
        <v>17</v>
      </c>
      <c r="D41">
        <f>(32+30+29+30+30)/5</f>
        <v>30.2</v>
      </c>
      <c r="E41" s="3">
        <v>746.6</v>
      </c>
      <c r="F41">
        <v>76.400000000000006</v>
      </c>
      <c r="G41">
        <v>1344.17</v>
      </c>
      <c r="H41">
        <v>5.6</v>
      </c>
      <c r="I41">
        <v>5</v>
      </c>
      <c r="J41">
        <v>95.1</v>
      </c>
      <c r="K41" s="2">
        <f>SUM(H41:J41)</f>
        <v>105.69999999999999</v>
      </c>
      <c r="L41" s="10">
        <f>(E41*G41/F41)/10000</f>
        <v>1.3135567041884817</v>
      </c>
      <c r="M41" s="33">
        <v>2</v>
      </c>
    </row>
    <row r="42" spans="1:13" x14ac:dyDescent="0.2">
      <c r="A42" s="34">
        <v>36360</v>
      </c>
      <c r="B42">
        <v>200</v>
      </c>
      <c r="C42" s="36" t="s">
        <v>110</v>
      </c>
      <c r="D42">
        <f>(35+37+35+34+39)/5</f>
        <v>36</v>
      </c>
      <c r="E42" t="e">
        <v>#N/A</v>
      </c>
      <c r="F42" t="e">
        <v>#N/A</v>
      </c>
      <c r="G42" t="e">
        <v>#N/A</v>
      </c>
      <c r="H42" t="e">
        <v>#N/A</v>
      </c>
      <c r="I42" t="e">
        <v>#N/A</v>
      </c>
      <c r="J42" t="e">
        <v>#N/A</v>
      </c>
      <c r="K42" t="e">
        <v>#N/A</v>
      </c>
      <c r="L42" t="e">
        <v>#N/A</v>
      </c>
      <c r="M42" s="33">
        <v>2</v>
      </c>
    </row>
    <row r="43" spans="1:13" x14ac:dyDescent="0.2">
      <c r="A43" s="34">
        <v>36360</v>
      </c>
      <c r="B43">
        <v>200</v>
      </c>
      <c r="C43" t="s">
        <v>8</v>
      </c>
      <c r="D43">
        <f>(32+35+30+35+37)/5</f>
        <v>33.799999999999997</v>
      </c>
      <c r="E43" s="3">
        <v>1025.7</v>
      </c>
      <c r="F43">
        <v>88.5</v>
      </c>
      <c r="G43">
        <v>1717</v>
      </c>
      <c r="H43">
        <v>6.6</v>
      </c>
      <c r="I43">
        <v>6.1</v>
      </c>
      <c r="J43">
        <v>140.19999999999999</v>
      </c>
      <c r="K43" s="3">
        <f>SUM(H43:J43)</f>
        <v>152.89999999999998</v>
      </c>
      <c r="L43" s="10">
        <f>(E43*G43/F43)/10000</f>
        <v>1.9899738983050848</v>
      </c>
      <c r="M43" s="33">
        <v>2</v>
      </c>
    </row>
    <row r="44" spans="1:13" x14ac:dyDescent="0.2">
      <c r="A44" s="34">
        <v>36360</v>
      </c>
      <c r="B44">
        <v>200</v>
      </c>
      <c r="C44" t="s">
        <v>9</v>
      </c>
      <c r="D44">
        <f>(32+33+32+28+33)/5</f>
        <v>31.6</v>
      </c>
      <c r="E44" s="3">
        <v>910.5</v>
      </c>
      <c r="F44">
        <v>86.7</v>
      </c>
      <c r="G44">
        <v>1744.19</v>
      </c>
      <c r="H44">
        <v>6.9</v>
      </c>
      <c r="I44">
        <v>6.3</v>
      </c>
      <c r="J44">
        <v>124.1</v>
      </c>
      <c r="K44" s="3">
        <f>SUM(H44:J44)</f>
        <v>137.29999999999998</v>
      </c>
      <c r="L44" s="10">
        <f>(E44*G44/F44)/10000</f>
        <v>1.8317012629757785</v>
      </c>
      <c r="M44" s="33">
        <v>2</v>
      </c>
    </row>
    <row r="45" spans="1:13" x14ac:dyDescent="0.2">
      <c r="A45" s="34">
        <v>36360</v>
      </c>
      <c r="B45">
        <v>200</v>
      </c>
      <c r="C45" t="s">
        <v>10</v>
      </c>
      <c r="D45">
        <f>(33+34+31+40+31)/5</f>
        <v>33.799999999999997</v>
      </c>
      <c r="E45" s="3">
        <v>979.7</v>
      </c>
      <c r="F45">
        <v>90.5</v>
      </c>
      <c r="G45">
        <v>1592.26</v>
      </c>
      <c r="H45">
        <v>6.9</v>
      </c>
      <c r="I45">
        <v>6.5</v>
      </c>
      <c r="J45">
        <v>139.4</v>
      </c>
      <c r="K45" s="3">
        <f>SUM(H45:J45)</f>
        <v>152.80000000000001</v>
      </c>
      <c r="L45" s="10">
        <f>(E45*G45/F45)/10000</f>
        <v>1.7236874276243093</v>
      </c>
      <c r="M45" s="33">
        <v>2</v>
      </c>
    </row>
    <row r="46" spans="1:13" x14ac:dyDescent="0.2">
      <c r="A46" s="34">
        <v>36360</v>
      </c>
      <c r="B46">
        <v>200</v>
      </c>
      <c r="C46" t="s">
        <v>11</v>
      </c>
      <c r="D46">
        <f>(30+35+34+31+37)/5</f>
        <v>33.4</v>
      </c>
      <c r="E46" s="3">
        <v>928.5</v>
      </c>
      <c r="F46">
        <v>87.3</v>
      </c>
      <c r="G46">
        <v>1744</v>
      </c>
      <c r="H46">
        <v>6.7</v>
      </c>
      <c r="I46">
        <v>6.4</v>
      </c>
      <c r="J46">
        <v>127.6</v>
      </c>
      <c r="K46" s="3">
        <f>SUM(H46:J46)</f>
        <v>140.69999999999999</v>
      </c>
      <c r="L46" s="10">
        <f>(E46*G46/F46)/10000</f>
        <v>1.8548728522336768</v>
      </c>
      <c r="M46" s="33">
        <v>2</v>
      </c>
    </row>
    <row r="47" spans="1:13" x14ac:dyDescent="0.2">
      <c r="A47" s="34">
        <v>36360</v>
      </c>
      <c r="B47">
        <v>200</v>
      </c>
      <c r="C47" s="36" t="s">
        <v>111</v>
      </c>
      <c r="D47">
        <f>(38+34+39+35+37)/5</f>
        <v>36.6</v>
      </c>
      <c r="E47" t="e">
        <v>#N/A</v>
      </c>
      <c r="F47" t="e">
        <v>#N/A</v>
      </c>
      <c r="G47" t="e">
        <v>#N/A</v>
      </c>
      <c r="H47" t="e">
        <v>#N/A</v>
      </c>
      <c r="I47" t="e">
        <v>#N/A</v>
      </c>
      <c r="J47" t="e">
        <v>#N/A</v>
      </c>
      <c r="K47" t="e">
        <v>#N/A</v>
      </c>
      <c r="L47" t="e">
        <v>#N/A</v>
      </c>
      <c r="M47" s="33">
        <v>2</v>
      </c>
    </row>
    <row r="48" spans="1:13" x14ac:dyDescent="0.2">
      <c r="A48" s="34">
        <v>36369</v>
      </c>
      <c r="B48">
        <v>209</v>
      </c>
      <c r="C48" s="5" t="s">
        <v>14</v>
      </c>
      <c r="D48" s="5">
        <f>(67+69+64+70+65)/5</f>
        <v>67</v>
      </c>
      <c r="E48" s="6">
        <v>2174.3000000000002</v>
      </c>
      <c r="F48" s="5">
        <v>126.3</v>
      </c>
      <c r="G48" s="5">
        <v>2183.2399999999998</v>
      </c>
      <c r="H48" s="5">
        <v>12.4</v>
      </c>
      <c r="I48" s="5">
        <v>7.5</v>
      </c>
      <c r="J48" s="5">
        <v>315.7</v>
      </c>
      <c r="K48" s="6">
        <f>SUM(H48:J48)</f>
        <v>335.59999999999997</v>
      </c>
      <c r="L48" s="7">
        <f>(E48*G48/F48)/10000</f>
        <v>3.7585263119556616</v>
      </c>
      <c r="M48" s="33">
        <v>4</v>
      </c>
    </row>
    <row r="49" spans="1:13" x14ac:dyDescent="0.2">
      <c r="A49" s="34">
        <v>36369</v>
      </c>
      <c r="B49">
        <v>209</v>
      </c>
      <c r="C49" t="s">
        <v>15</v>
      </c>
      <c r="D49">
        <f>(61+63+60+67+63)/5</f>
        <v>62.8</v>
      </c>
      <c r="E49" s="3">
        <v>1943.3</v>
      </c>
      <c r="F49">
        <v>127</v>
      </c>
      <c r="G49">
        <v>2399.5</v>
      </c>
      <c r="H49">
        <v>12</v>
      </c>
      <c r="I49">
        <v>8.6999999999999993</v>
      </c>
      <c r="J49">
        <v>276.39999999999998</v>
      </c>
      <c r="K49" s="2">
        <f>SUM(H49:J49)</f>
        <v>297.09999999999997</v>
      </c>
      <c r="L49" s="10">
        <f>(E49*G49/F49)/10000</f>
        <v>3.6716128740157479</v>
      </c>
      <c r="M49" s="33">
        <v>4</v>
      </c>
    </row>
    <row r="50" spans="1:13" x14ac:dyDescent="0.2">
      <c r="A50" s="34">
        <v>36369</v>
      </c>
      <c r="B50">
        <v>209</v>
      </c>
      <c r="C50" t="s">
        <v>16</v>
      </c>
      <c r="D50">
        <f>(57+54+57+57+55)/5</f>
        <v>56</v>
      </c>
      <c r="E50" s="3">
        <v>1829.3</v>
      </c>
      <c r="F50">
        <v>127.4</v>
      </c>
      <c r="G50">
        <v>2410.2600000000002</v>
      </c>
      <c r="H50">
        <v>11.7</v>
      </c>
      <c r="I50">
        <v>8.6999999999999993</v>
      </c>
      <c r="J50">
        <v>256.89999999999998</v>
      </c>
      <c r="K50" s="2">
        <f>SUM(H50:J50)</f>
        <v>277.29999999999995</v>
      </c>
      <c r="L50" s="10">
        <f>(E50*G50/F50)/10000</f>
        <v>3.4608230910518052</v>
      </c>
      <c r="M50" s="33">
        <v>4</v>
      </c>
    </row>
    <row r="51" spans="1:13" x14ac:dyDescent="0.2">
      <c r="A51" s="34">
        <v>36369</v>
      </c>
      <c r="B51">
        <v>209</v>
      </c>
      <c r="C51" t="s">
        <v>17</v>
      </c>
      <c r="D51">
        <f>(63+62+65+67+64)/5</f>
        <v>64.2</v>
      </c>
      <c r="E51" s="3">
        <v>2120.3000000000002</v>
      </c>
      <c r="F51">
        <v>127.3</v>
      </c>
      <c r="G51">
        <v>2102.35</v>
      </c>
      <c r="H51">
        <v>11.4</v>
      </c>
      <c r="I51">
        <v>7</v>
      </c>
      <c r="J51">
        <v>293.7</v>
      </c>
      <c r="K51" s="2">
        <f>SUM(H51:J51)</f>
        <v>312.09999999999997</v>
      </c>
      <c r="L51" s="10">
        <f>(E51*G51/F51)/10000</f>
        <v>3.5016596268656714</v>
      </c>
      <c r="M51" s="33">
        <v>4</v>
      </c>
    </row>
    <row r="52" spans="1:13" x14ac:dyDescent="0.2">
      <c r="A52" s="34">
        <v>36369</v>
      </c>
      <c r="B52">
        <v>209</v>
      </c>
      <c r="C52" s="36" t="s">
        <v>108</v>
      </c>
      <c r="D52">
        <f>(69+68+67+64+67)/5</f>
        <v>67</v>
      </c>
      <c r="E52" t="e">
        <v>#N/A</v>
      </c>
      <c r="F52" t="e">
        <v>#N/A</v>
      </c>
      <c r="G52" t="e">
        <v>#N/A</v>
      </c>
      <c r="H52" t="e">
        <v>#N/A</v>
      </c>
      <c r="I52" t="e">
        <v>#N/A</v>
      </c>
      <c r="J52" t="e">
        <v>#N/A</v>
      </c>
      <c r="K52" t="e">
        <v>#N/A</v>
      </c>
      <c r="L52" t="e">
        <v>#N/A</v>
      </c>
      <c r="M52" s="33">
        <v>4</v>
      </c>
    </row>
    <row r="53" spans="1:13" x14ac:dyDescent="0.2">
      <c r="A53" s="34">
        <v>36369</v>
      </c>
      <c r="B53">
        <v>209</v>
      </c>
      <c r="C53" t="s">
        <v>8</v>
      </c>
      <c r="D53">
        <f>(56+62+62+63+59)/5</f>
        <v>60.4</v>
      </c>
      <c r="E53" s="3">
        <v>1971.3</v>
      </c>
      <c r="F53">
        <v>127.6</v>
      </c>
      <c r="G53">
        <v>2355.71</v>
      </c>
      <c r="H53">
        <v>10.9</v>
      </c>
      <c r="I53">
        <v>7.7</v>
      </c>
      <c r="J53">
        <v>269.8</v>
      </c>
      <c r="K53" s="3">
        <f>SUM(H53:J53)</f>
        <v>288.40000000000003</v>
      </c>
      <c r="L53" s="10">
        <f>(E53*G53/F53)/10000</f>
        <v>3.6393504098746083</v>
      </c>
      <c r="M53" s="33">
        <v>4</v>
      </c>
    </row>
    <row r="54" spans="1:13" x14ac:dyDescent="0.2">
      <c r="A54" s="34">
        <v>36369</v>
      </c>
      <c r="B54">
        <v>209</v>
      </c>
      <c r="C54" t="s">
        <v>9</v>
      </c>
      <c r="D54">
        <f>(65+65+63+66+64)/5</f>
        <v>64.599999999999994</v>
      </c>
      <c r="E54" s="3">
        <v>2082.6</v>
      </c>
      <c r="F54">
        <v>126.6</v>
      </c>
      <c r="G54">
        <v>2245.79</v>
      </c>
      <c r="H54">
        <v>13.1</v>
      </c>
      <c r="I54">
        <v>8.3000000000000007</v>
      </c>
      <c r="J54">
        <v>310</v>
      </c>
      <c r="K54" s="3">
        <f>SUM(H54:J54)</f>
        <v>331.4</v>
      </c>
      <c r="L54" s="10">
        <f>(E54*G54/F54)/10000</f>
        <v>3.694377767772512</v>
      </c>
      <c r="M54" s="33">
        <v>4</v>
      </c>
    </row>
    <row r="55" spans="1:13" x14ac:dyDescent="0.2">
      <c r="A55" s="34">
        <v>36369</v>
      </c>
      <c r="B55">
        <v>209</v>
      </c>
      <c r="C55" t="s">
        <v>10</v>
      </c>
      <c r="D55">
        <f>(57+61+56+61+59)/5</f>
        <v>58.8</v>
      </c>
      <c r="E55" s="3">
        <v>1517.7</v>
      </c>
      <c r="F55">
        <v>125</v>
      </c>
      <c r="G55">
        <v>2341.52</v>
      </c>
      <c r="H55">
        <v>11.6</v>
      </c>
      <c r="I55">
        <v>8.6999999999999993</v>
      </c>
      <c r="J55">
        <v>225.6</v>
      </c>
      <c r="K55" s="3">
        <f>SUM(H55:J55)</f>
        <v>245.89999999999998</v>
      </c>
      <c r="L55" s="10">
        <f>(E55*G55/F55)/10000</f>
        <v>2.8429799232000001</v>
      </c>
      <c r="M55" s="33">
        <v>4</v>
      </c>
    </row>
    <row r="56" spans="1:13" x14ac:dyDescent="0.2">
      <c r="A56" s="34">
        <v>36369</v>
      </c>
      <c r="B56">
        <v>209</v>
      </c>
      <c r="C56" t="s">
        <v>11</v>
      </c>
      <c r="D56">
        <f>(62+61+60+62+62)/5</f>
        <v>61.4</v>
      </c>
      <c r="E56" s="3">
        <v>1865.9</v>
      </c>
      <c r="F56">
        <v>125.5</v>
      </c>
      <c r="G56">
        <v>2359.29</v>
      </c>
      <c r="H56">
        <v>11.6</v>
      </c>
      <c r="I56">
        <v>8.3000000000000007</v>
      </c>
      <c r="J56">
        <v>267.5</v>
      </c>
      <c r="K56" s="3">
        <f>SUM(H56:J56)</f>
        <v>287.39999999999998</v>
      </c>
      <c r="L56" s="10">
        <f>(E56*G56/F56)/10000</f>
        <v>3.5077284549800796</v>
      </c>
      <c r="M56" s="33">
        <v>4</v>
      </c>
    </row>
    <row r="57" spans="1:13" x14ac:dyDescent="0.2">
      <c r="A57" s="34">
        <v>36369</v>
      </c>
      <c r="B57">
        <v>209</v>
      </c>
      <c r="C57" s="36" t="s">
        <v>109</v>
      </c>
      <c r="D57">
        <f>(66+67+66+65+66)/5</f>
        <v>66</v>
      </c>
      <c r="E57" t="e">
        <v>#N/A</v>
      </c>
      <c r="F57" t="e">
        <v>#N/A</v>
      </c>
      <c r="G57" t="e">
        <v>#N/A</v>
      </c>
      <c r="H57" t="e">
        <v>#N/A</v>
      </c>
      <c r="I57" t="e">
        <v>#N/A</v>
      </c>
      <c r="J57" t="e">
        <v>#N/A</v>
      </c>
      <c r="K57" t="e">
        <v>#N/A</v>
      </c>
      <c r="L57" t="e">
        <v>#N/A</v>
      </c>
      <c r="M57" s="33">
        <v>4</v>
      </c>
    </row>
    <row r="58" spans="1:13" x14ac:dyDescent="0.2">
      <c r="A58" s="34">
        <v>36384</v>
      </c>
      <c r="B58">
        <v>224</v>
      </c>
      <c r="C58" s="5" t="s">
        <v>14</v>
      </c>
      <c r="D58">
        <v>50</v>
      </c>
      <c r="E58" s="6">
        <v>2017</v>
      </c>
      <c r="F58" s="5">
        <v>150</v>
      </c>
      <c r="G58" s="5">
        <v>2365.86</v>
      </c>
      <c r="H58" s="5">
        <v>23.3</v>
      </c>
      <c r="I58" s="5">
        <v>12.1</v>
      </c>
      <c r="J58" s="5">
        <v>423.5</v>
      </c>
      <c r="K58" s="6">
        <f>SUM(H58:J58)</f>
        <v>458.9</v>
      </c>
      <c r="L58" s="7">
        <f>(E58*G58/F58)/10000</f>
        <v>3.1812930800000001</v>
      </c>
      <c r="M58" s="33">
        <v>6</v>
      </c>
    </row>
    <row r="59" spans="1:13" x14ac:dyDescent="0.2">
      <c r="A59" s="34">
        <v>36384</v>
      </c>
      <c r="B59">
        <v>224</v>
      </c>
      <c r="C59" t="s">
        <v>15</v>
      </c>
      <c r="D59">
        <v>65</v>
      </c>
      <c r="E59" s="3">
        <v>2136</v>
      </c>
      <c r="F59">
        <v>150</v>
      </c>
      <c r="G59">
        <v>2447.31</v>
      </c>
      <c r="H59">
        <v>18.5</v>
      </c>
      <c r="I59">
        <v>11.1</v>
      </c>
      <c r="J59">
        <v>412.35</v>
      </c>
      <c r="K59" s="2">
        <f>SUM(H59:J59)</f>
        <v>441.95000000000005</v>
      </c>
      <c r="L59" s="10">
        <f>(E59*G59/F59)/10000</f>
        <v>3.48496944</v>
      </c>
      <c r="M59" s="33">
        <v>6</v>
      </c>
    </row>
    <row r="60" spans="1:13" x14ac:dyDescent="0.2">
      <c r="A60" s="34">
        <v>36384</v>
      </c>
      <c r="B60">
        <v>224</v>
      </c>
      <c r="C60" t="s">
        <v>16</v>
      </c>
      <c r="D60" s="4">
        <v>50</v>
      </c>
      <c r="E60" s="3">
        <v>1965</v>
      </c>
      <c r="F60">
        <v>146</v>
      </c>
      <c r="G60">
        <v>2683.54</v>
      </c>
      <c r="H60">
        <v>19.3</v>
      </c>
      <c r="I60">
        <v>10.6</v>
      </c>
      <c r="J60">
        <v>366.9</v>
      </c>
      <c r="K60" s="2">
        <f>SUM(H60:J60)</f>
        <v>396.79999999999995</v>
      </c>
      <c r="L60" s="10">
        <f>(E60*G60/F60)/10000</f>
        <v>3.6117507534246571</v>
      </c>
      <c r="M60" s="33">
        <v>6</v>
      </c>
    </row>
    <row r="61" spans="1:13" x14ac:dyDescent="0.2">
      <c r="A61" s="34">
        <v>36384</v>
      </c>
      <c r="B61">
        <v>224</v>
      </c>
      <c r="C61" t="s">
        <v>17</v>
      </c>
      <c r="D61">
        <v>55</v>
      </c>
      <c r="E61" s="3">
        <v>1742</v>
      </c>
      <c r="F61">
        <v>148</v>
      </c>
      <c r="G61">
        <v>2609.67</v>
      </c>
      <c r="H61">
        <v>17.899999999999999</v>
      </c>
      <c r="I61">
        <v>11.1</v>
      </c>
      <c r="J61">
        <v>329.51</v>
      </c>
      <c r="K61" s="2">
        <f>SUM(H61:J61)</f>
        <v>358.51</v>
      </c>
      <c r="L61" s="10">
        <f>(E61*G61/F61)/10000</f>
        <v>3.0716521216216215</v>
      </c>
      <c r="M61" s="33">
        <v>6</v>
      </c>
    </row>
    <row r="62" spans="1:13" x14ac:dyDescent="0.2">
      <c r="A62" s="34">
        <v>36384</v>
      </c>
      <c r="B62">
        <v>224</v>
      </c>
      <c r="C62" t="s">
        <v>8</v>
      </c>
      <c r="D62">
        <v>55</v>
      </c>
      <c r="E62" s="3">
        <v>2171</v>
      </c>
      <c r="F62">
        <v>150</v>
      </c>
      <c r="G62">
        <v>2898.31</v>
      </c>
      <c r="H62">
        <v>18.600000000000001</v>
      </c>
      <c r="I62">
        <v>10.7</v>
      </c>
      <c r="J62">
        <v>390.59</v>
      </c>
      <c r="K62" s="3">
        <f>SUM(H62:J62)</f>
        <v>419.89</v>
      </c>
      <c r="L62" s="10">
        <f>(E62*G62/F62)/10000</f>
        <v>4.1948206733333331</v>
      </c>
      <c r="M62" s="33">
        <v>6</v>
      </c>
    </row>
    <row r="63" spans="1:13" x14ac:dyDescent="0.2">
      <c r="A63" s="34">
        <v>36384</v>
      </c>
      <c r="B63">
        <v>224</v>
      </c>
      <c r="C63" t="s">
        <v>9</v>
      </c>
      <c r="D63">
        <v>45</v>
      </c>
      <c r="E63" s="3">
        <v>2399</v>
      </c>
      <c r="F63">
        <v>147</v>
      </c>
      <c r="G63">
        <v>2677.59</v>
      </c>
      <c r="H63">
        <v>20.3</v>
      </c>
      <c r="I63">
        <v>12.3</v>
      </c>
      <c r="J63">
        <v>461.07</v>
      </c>
      <c r="K63" s="3">
        <f>SUM(H63:J63)</f>
        <v>493.67</v>
      </c>
      <c r="L63" s="10">
        <f>(E63*G63/F63)/10000</f>
        <v>4.3697540204081635</v>
      </c>
      <c r="M63" s="33">
        <v>6</v>
      </c>
    </row>
    <row r="64" spans="1:13" x14ac:dyDescent="0.2">
      <c r="A64" s="34">
        <v>36384</v>
      </c>
      <c r="B64">
        <v>224</v>
      </c>
      <c r="C64" t="s">
        <v>10</v>
      </c>
      <c r="D64">
        <v>55</v>
      </c>
      <c r="E64" s="3">
        <v>1980</v>
      </c>
      <c r="F64">
        <v>149</v>
      </c>
      <c r="G64">
        <v>2598.7399999999998</v>
      </c>
      <c r="H64">
        <v>20.2</v>
      </c>
      <c r="I64">
        <v>12.1</v>
      </c>
      <c r="J64">
        <v>380.36</v>
      </c>
      <c r="K64" s="3">
        <f>SUM(H64:J64)</f>
        <v>412.66</v>
      </c>
      <c r="L64" s="10">
        <f>(E64*G64/F64)/10000</f>
        <v>3.4533591946308722</v>
      </c>
      <c r="M64" s="33">
        <v>6</v>
      </c>
    </row>
    <row r="65" spans="1:13" x14ac:dyDescent="0.2">
      <c r="A65" s="34">
        <v>36384</v>
      </c>
      <c r="B65">
        <v>224</v>
      </c>
      <c r="C65" t="s">
        <v>11</v>
      </c>
      <c r="D65">
        <v>50</v>
      </c>
      <c r="E65" s="3">
        <v>2145</v>
      </c>
      <c r="F65">
        <v>145</v>
      </c>
      <c r="G65">
        <v>2673.07</v>
      </c>
      <c r="H65">
        <v>16.399999999999999</v>
      </c>
      <c r="I65">
        <v>11</v>
      </c>
      <c r="J65">
        <v>393.56</v>
      </c>
      <c r="K65" s="2">
        <f>SUM(H65:J65)</f>
        <v>420.96</v>
      </c>
      <c r="L65" s="10">
        <f>(E65*G65/F65)/10000</f>
        <v>3.9543001034482761</v>
      </c>
      <c r="M65" s="33">
        <v>6</v>
      </c>
    </row>
    <row r="66" spans="1:13" x14ac:dyDescent="0.2">
      <c r="A66" s="34">
        <v>36397</v>
      </c>
      <c r="B66">
        <v>237</v>
      </c>
      <c r="C66" s="5" t="s">
        <v>14</v>
      </c>
      <c r="D66">
        <f>(25+24+27+30+26)/5</f>
        <v>26.4</v>
      </c>
      <c r="E66" s="6">
        <v>600.1</v>
      </c>
      <c r="F66" s="5">
        <v>72.3</v>
      </c>
      <c r="G66" s="5">
        <v>1261</v>
      </c>
      <c r="H66" s="5">
        <v>5.7</v>
      </c>
      <c r="I66" s="5">
        <v>5.7</v>
      </c>
      <c r="J66" s="5">
        <v>101.3</v>
      </c>
      <c r="K66" s="6">
        <f>SUM(H66:J66)</f>
        <v>112.7</v>
      </c>
      <c r="L66" s="7">
        <f>(E66*G66/F66)/10000</f>
        <v>1.0466474412171509</v>
      </c>
      <c r="M66" s="33">
        <v>1</v>
      </c>
    </row>
    <row r="67" spans="1:13" x14ac:dyDescent="0.2">
      <c r="A67" s="34">
        <v>36397</v>
      </c>
      <c r="B67">
        <v>237</v>
      </c>
      <c r="C67" t="s">
        <v>15</v>
      </c>
      <c r="D67">
        <f>(34+32+31+34+31)/5</f>
        <v>32.4</v>
      </c>
      <c r="E67" s="3">
        <v>923.1</v>
      </c>
      <c r="F67">
        <v>73.599999999999994</v>
      </c>
      <c r="G67">
        <v>1210</v>
      </c>
      <c r="H67">
        <v>5.7</v>
      </c>
      <c r="I67">
        <v>5.8</v>
      </c>
      <c r="J67">
        <v>125.3</v>
      </c>
      <c r="K67" s="2">
        <f>SUM(H67:J67)</f>
        <v>136.80000000000001</v>
      </c>
      <c r="L67" s="10">
        <f>(E67*G67/F67)/10000</f>
        <v>1.5175964673913045</v>
      </c>
      <c r="M67" s="33">
        <v>1</v>
      </c>
    </row>
    <row r="68" spans="1:13" x14ac:dyDescent="0.2">
      <c r="A68" s="34">
        <v>36397</v>
      </c>
      <c r="B68">
        <v>237</v>
      </c>
      <c r="C68" t="s">
        <v>16</v>
      </c>
      <c r="D68" s="4">
        <f>(27+27+24+26+30)/5</f>
        <v>26.8</v>
      </c>
      <c r="E68" s="3">
        <v>819.9</v>
      </c>
      <c r="F68">
        <v>73.5</v>
      </c>
      <c r="G68">
        <v>1269</v>
      </c>
      <c r="H68">
        <v>5.6</v>
      </c>
      <c r="I68">
        <v>5.0999999999999996</v>
      </c>
      <c r="J68">
        <v>112.9</v>
      </c>
      <c r="K68" s="2">
        <f>SUM(H68:J68)</f>
        <v>123.60000000000001</v>
      </c>
      <c r="L68" s="10">
        <f>(E68*G68/F68)/10000</f>
        <v>1.4155824489795918</v>
      </c>
      <c r="M68" s="33">
        <v>1</v>
      </c>
    </row>
    <row r="69" spans="1:13" x14ac:dyDescent="0.2">
      <c r="A69" s="34">
        <v>36397</v>
      </c>
      <c r="B69">
        <v>237</v>
      </c>
      <c r="C69" t="s">
        <v>17</v>
      </c>
      <c r="D69">
        <f>(33+27+30+31+30)/5</f>
        <v>30.2</v>
      </c>
      <c r="E69" s="3">
        <v>959.7</v>
      </c>
      <c r="F69">
        <v>71.3</v>
      </c>
      <c r="G69">
        <v>1272</v>
      </c>
      <c r="H69">
        <v>5.4</v>
      </c>
      <c r="I69">
        <v>5.5</v>
      </c>
      <c r="J69">
        <v>138.1</v>
      </c>
      <c r="K69" s="2">
        <f>SUM(H69:J69)</f>
        <v>149</v>
      </c>
      <c r="L69" s="10">
        <f>(E69*G69/F69)/10000</f>
        <v>1.7121155680224405</v>
      </c>
      <c r="M69" s="33">
        <v>1</v>
      </c>
    </row>
    <row r="70" spans="1:13" x14ac:dyDescent="0.2">
      <c r="A70" s="34">
        <v>36397</v>
      </c>
      <c r="B70">
        <v>237</v>
      </c>
      <c r="C70" s="36" t="s">
        <v>108</v>
      </c>
      <c r="D70">
        <f>(32+33+36+31+33)/5</f>
        <v>33</v>
      </c>
      <c r="E70" t="e">
        <v>#N/A</v>
      </c>
      <c r="F70" t="e">
        <v>#N/A</v>
      </c>
      <c r="G70" t="e">
        <v>#N/A</v>
      </c>
      <c r="H70" t="e">
        <v>#N/A</v>
      </c>
      <c r="I70" t="e">
        <v>#N/A</v>
      </c>
      <c r="J70" t="e">
        <v>#N/A</v>
      </c>
      <c r="K70" t="e">
        <v>#N/A</v>
      </c>
      <c r="L70" t="e">
        <v>#N/A</v>
      </c>
      <c r="M70" s="33">
        <v>1</v>
      </c>
    </row>
    <row r="71" spans="1:13" x14ac:dyDescent="0.2">
      <c r="A71" s="34">
        <v>36397</v>
      </c>
      <c r="B71">
        <v>237</v>
      </c>
      <c r="C71" t="s">
        <v>8</v>
      </c>
      <c r="D71">
        <f>(35+32+30+28+30)/5</f>
        <v>31</v>
      </c>
      <c r="E71" s="3">
        <v>1021.7</v>
      </c>
      <c r="F71">
        <v>70.900000000000006</v>
      </c>
      <c r="G71">
        <v>1208.3900000000001</v>
      </c>
      <c r="H71">
        <v>5.2</v>
      </c>
      <c r="I71">
        <v>5.8</v>
      </c>
      <c r="J71">
        <v>148.80000000000001</v>
      </c>
      <c r="K71" s="3">
        <f>SUM(H71:J71)</f>
        <v>159.80000000000001</v>
      </c>
      <c r="L71" s="10">
        <f>(E71*G71/F71)/10000</f>
        <v>1.7413428251057828</v>
      </c>
      <c r="M71" s="33">
        <v>1</v>
      </c>
    </row>
    <row r="72" spans="1:13" x14ac:dyDescent="0.2">
      <c r="A72" s="34">
        <v>36397</v>
      </c>
      <c r="B72">
        <v>237</v>
      </c>
      <c r="C72" t="s">
        <v>9</v>
      </c>
      <c r="D72">
        <f>(25+24+25+30+27)/5</f>
        <v>26.2</v>
      </c>
      <c r="E72" s="3">
        <v>702.2</v>
      </c>
      <c r="F72">
        <v>70.7</v>
      </c>
      <c r="G72">
        <v>1087</v>
      </c>
      <c r="H72">
        <v>5.7</v>
      </c>
      <c r="I72">
        <v>5.0999999999999996</v>
      </c>
      <c r="J72">
        <v>101.5</v>
      </c>
      <c r="K72" s="3">
        <f>SUM(H72:J72)</f>
        <v>112.3</v>
      </c>
      <c r="L72" s="10">
        <f>(E72*G72/F72)/10000</f>
        <v>1.0796200848656294</v>
      </c>
      <c r="M72" s="33">
        <v>1</v>
      </c>
    </row>
    <row r="73" spans="1:13" x14ac:dyDescent="0.2">
      <c r="A73" s="34">
        <v>36397</v>
      </c>
      <c r="B73">
        <v>237</v>
      </c>
      <c r="C73" t="s">
        <v>10</v>
      </c>
      <c r="D73">
        <f>(30+26+28+25+25)/5</f>
        <v>26.8</v>
      </c>
      <c r="E73" s="3">
        <v>733</v>
      </c>
      <c r="F73">
        <v>71.099999999999994</v>
      </c>
      <c r="G73">
        <v>1175</v>
      </c>
      <c r="H73">
        <v>5.4</v>
      </c>
      <c r="I73">
        <v>5.3</v>
      </c>
      <c r="J73">
        <v>106.9</v>
      </c>
      <c r="K73" s="3">
        <f>SUM(H73:J73)</f>
        <v>117.60000000000001</v>
      </c>
      <c r="L73" s="10">
        <f>(E73*G73/F73)/10000</f>
        <v>1.2113572433192688</v>
      </c>
      <c r="M73" s="33">
        <v>1</v>
      </c>
    </row>
    <row r="74" spans="1:13" x14ac:dyDescent="0.2">
      <c r="A74" s="34">
        <v>36397</v>
      </c>
      <c r="B74">
        <v>237</v>
      </c>
      <c r="C74" t="s">
        <v>11</v>
      </c>
      <c r="D74">
        <f>(30+30+30+33+34)/5</f>
        <v>31.4</v>
      </c>
      <c r="E74" s="3">
        <v>865.8</v>
      </c>
      <c r="F74">
        <v>73.7</v>
      </c>
      <c r="G74">
        <v>1269</v>
      </c>
      <c r="H74">
        <v>5.0999999999999996</v>
      </c>
      <c r="I74">
        <v>5.3</v>
      </c>
      <c r="J74">
        <v>125.3</v>
      </c>
      <c r="K74" s="2">
        <f>SUM(H74:J74)</f>
        <v>135.69999999999999</v>
      </c>
      <c r="L74" s="10">
        <f>(E74*G74/F74)/10000</f>
        <v>1.4907736770691995</v>
      </c>
      <c r="M74" s="33">
        <v>1</v>
      </c>
    </row>
    <row r="75" spans="1:13" x14ac:dyDescent="0.2">
      <c r="A75" s="34">
        <v>36397</v>
      </c>
      <c r="B75">
        <v>237</v>
      </c>
      <c r="C75" s="36" t="s">
        <v>109</v>
      </c>
      <c r="D75">
        <f>(28+26+27+33+28)/5</f>
        <v>28.4</v>
      </c>
      <c r="E75" t="e">
        <v>#N/A</v>
      </c>
      <c r="F75" t="e">
        <v>#N/A</v>
      </c>
      <c r="G75" t="e">
        <v>#N/A</v>
      </c>
      <c r="H75" t="e">
        <v>#N/A</v>
      </c>
      <c r="I75" t="e">
        <v>#N/A</v>
      </c>
      <c r="J75" t="e">
        <v>#N/A</v>
      </c>
      <c r="K75" t="e">
        <v>#N/A</v>
      </c>
      <c r="L75" t="e">
        <v>#N/A</v>
      </c>
      <c r="M75" s="33">
        <v>1</v>
      </c>
    </row>
    <row r="76" spans="1:13" x14ac:dyDescent="0.2">
      <c r="A76" s="34">
        <v>36411</v>
      </c>
      <c r="B76">
        <v>251</v>
      </c>
      <c r="C76" s="5" t="s">
        <v>14</v>
      </c>
      <c r="D76">
        <f>(53+40+40+41+45)/5</f>
        <v>43.8</v>
      </c>
      <c r="E76" s="6">
        <v>1059.2</v>
      </c>
      <c r="F76" s="5">
        <v>116.2</v>
      </c>
      <c r="G76" s="5">
        <v>3308.23</v>
      </c>
      <c r="H76" s="5">
        <v>12.7</v>
      </c>
      <c r="I76" s="5">
        <v>13.6</v>
      </c>
      <c r="J76" s="5">
        <v>219.5</v>
      </c>
      <c r="K76" s="6">
        <f>SUM(H76:J76)</f>
        <v>245.8</v>
      </c>
      <c r="L76" s="7">
        <f>(E76*G76/F76)/10000</f>
        <v>3.0155569845094661</v>
      </c>
      <c r="M76" s="33">
        <v>3</v>
      </c>
    </row>
    <row r="77" spans="1:13" x14ac:dyDescent="0.2">
      <c r="A77" s="34">
        <v>36411</v>
      </c>
      <c r="B77">
        <v>251</v>
      </c>
      <c r="C77" t="s">
        <v>15</v>
      </c>
      <c r="D77">
        <f>(51+50+45+51+51)/5</f>
        <v>49.6</v>
      </c>
      <c r="E77" s="3">
        <v>1233</v>
      </c>
      <c r="F77">
        <v>120</v>
      </c>
      <c r="G77">
        <v>2817</v>
      </c>
      <c r="H77">
        <v>12.8</v>
      </c>
      <c r="I77">
        <v>11</v>
      </c>
      <c r="J77">
        <v>220.8</v>
      </c>
      <c r="K77" s="2">
        <f>SUM(H77:J77)</f>
        <v>244.60000000000002</v>
      </c>
      <c r="L77" s="10">
        <f>(E77*G77/F77)/10000</f>
        <v>2.8944674999999997</v>
      </c>
      <c r="M77" s="33">
        <v>3</v>
      </c>
    </row>
    <row r="78" spans="1:13" x14ac:dyDescent="0.2">
      <c r="A78" s="34">
        <v>36411</v>
      </c>
      <c r="B78">
        <v>251</v>
      </c>
      <c r="C78" t="s">
        <v>16</v>
      </c>
      <c r="D78" s="4">
        <f>(48+44+52+50+47)/5</f>
        <v>48.2</v>
      </c>
      <c r="E78" s="3">
        <v>1287.7</v>
      </c>
      <c r="F78">
        <v>124.1</v>
      </c>
      <c r="G78">
        <v>3312</v>
      </c>
      <c r="H78">
        <v>11.6</v>
      </c>
      <c r="I78">
        <v>12.8</v>
      </c>
      <c r="J78">
        <v>230</v>
      </c>
      <c r="K78" s="2">
        <f>SUM(H78:J78)</f>
        <v>254.4</v>
      </c>
      <c r="L78" s="10">
        <f>(E78*G78/F78)/10000</f>
        <v>3.4366336825141022</v>
      </c>
      <c r="M78" s="33">
        <v>3</v>
      </c>
    </row>
    <row r="79" spans="1:13" x14ac:dyDescent="0.2">
      <c r="A79" s="34">
        <v>36411</v>
      </c>
      <c r="B79">
        <v>251</v>
      </c>
      <c r="C79" t="s">
        <v>17</v>
      </c>
      <c r="D79">
        <f>(56+58+52+60+54)/5</f>
        <v>56</v>
      </c>
      <c r="E79" s="3">
        <v>1437.3</v>
      </c>
      <c r="F79">
        <v>127</v>
      </c>
      <c r="G79">
        <v>3005</v>
      </c>
      <c r="H79">
        <v>13.2</v>
      </c>
      <c r="I79">
        <v>11.3</v>
      </c>
      <c r="J79">
        <v>249.5</v>
      </c>
      <c r="K79" s="2">
        <f>SUM(H79:J79)</f>
        <v>274</v>
      </c>
      <c r="L79" s="10">
        <f>(E79*G79/F79)/10000</f>
        <v>3.4008555118110233</v>
      </c>
      <c r="M79" s="33">
        <v>3</v>
      </c>
    </row>
    <row r="80" spans="1:13" x14ac:dyDescent="0.2">
      <c r="A80" s="34">
        <v>36411</v>
      </c>
      <c r="B80">
        <v>251</v>
      </c>
      <c r="C80" s="36" t="s">
        <v>108</v>
      </c>
      <c r="D80">
        <f>(54+55+58+62+55)/5</f>
        <v>56.8</v>
      </c>
      <c r="E80" t="e">
        <v>#N/A</v>
      </c>
      <c r="F80" t="e">
        <v>#N/A</v>
      </c>
      <c r="G80" t="e">
        <v>#N/A</v>
      </c>
      <c r="H80" t="e">
        <v>#N/A</v>
      </c>
      <c r="I80" t="e">
        <v>#N/A</v>
      </c>
      <c r="J80" t="e">
        <v>#N/A</v>
      </c>
      <c r="K80" t="e">
        <v>#N/A</v>
      </c>
      <c r="L80" t="e">
        <v>#N/A</v>
      </c>
      <c r="M80" s="33">
        <v>3</v>
      </c>
    </row>
    <row r="81" spans="1:13" x14ac:dyDescent="0.2">
      <c r="A81" s="34">
        <v>36411</v>
      </c>
      <c r="B81">
        <v>251</v>
      </c>
      <c r="C81" t="s">
        <v>8</v>
      </c>
      <c r="D81">
        <f>(59+61+60+63+59)/5</f>
        <v>60.4</v>
      </c>
      <c r="E81" s="3">
        <v>1701.3</v>
      </c>
      <c r="F81">
        <v>126.7</v>
      </c>
      <c r="G81">
        <v>2974</v>
      </c>
      <c r="H81">
        <v>11.6</v>
      </c>
      <c r="I81">
        <v>10.1</v>
      </c>
      <c r="J81">
        <v>272.89999999999998</v>
      </c>
      <c r="K81" s="3">
        <f>SUM(H81:J81)</f>
        <v>294.59999999999997</v>
      </c>
      <c r="L81" s="10">
        <f>(E81*G81/F81)/10000</f>
        <v>3.9934224151539071</v>
      </c>
      <c r="M81" s="33">
        <v>3</v>
      </c>
    </row>
    <row r="82" spans="1:13" x14ac:dyDescent="0.2">
      <c r="A82" s="34">
        <v>36411</v>
      </c>
      <c r="B82">
        <v>251</v>
      </c>
      <c r="C82" t="s">
        <v>9</v>
      </c>
      <c r="D82">
        <f>(62+65+63+68+61)/5</f>
        <v>63.8</v>
      </c>
      <c r="E82" s="3">
        <v>1927.7</v>
      </c>
      <c r="F82">
        <v>129.19999999999999</v>
      </c>
      <c r="G82">
        <v>2746</v>
      </c>
      <c r="H82">
        <v>13</v>
      </c>
      <c r="I82">
        <v>9.9</v>
      </c>
      <c r="J82">
        <v>303.3</v>
      </c>
      <c r="K82" s="3">
        <f>SUM(H82:J82)</f>
        <v>326.2</v>
      </c>
      <c r="L82" s="10">
        <f>(E82*G82/F82)/10000</f>
        <v>4.0971085139318895</v>
      </c>
      <c r="M82" s="33">
        <v>3</v>
      </c>
    </row>
    <row r="83" spans="1:13" x14ac:dyDescent="0.2">
      <c r="A83" s="34">
        <v>36411</v>
      </c>
      <c r="B83">
        <v>251</v>
      </c>
      <c r="C83" t="s">
        <v>10</v>
      </c>
      <c r="D83">
        <f>(53+60+61+56+60)/5</f>
        <v>58</v>
      </c>
      <c r="E83" s="3">
        <v>1965.3</v>
      </c>
      <c r="F83">
        <v>128.80000000000001</v>
      </c>
      <c r="G83">
        <v>2698</v>
      </c>
      <c r="H83">
        <v>9.4</v>
      </c>
      <c r="I83">
        <v>11.9</v>
      </c>
      <c r="J83">
        <v>298.39999999999998</v>
      </c>
      <c r="K83" s="3">
        <f>SUM(H83:J83)</f>
        <v>319.7</v>
      </c>
      <c r="L83" s="10">
        <f>(E83*G83/F83)/10000</f>
        <v>4.1167541925465834</v>
      </c>
      <c r="M83" s="33">
        <v>3</v>
      </c>
    </row>
    <row r="84" spans="1:13" x14ac:dyDescent="0.2">
      <c r="A84" s="34">
        <v>36411</v>
      </c>
      <c r="B84">
        <v>251</v>
      </c>
      <c r="C84" t="s">
        <v>11</v>
      </c>
      <c r="D84">
        <f>(62+60+58+59+55)/5</f>
        <v>58.8</v>
      </c>
      <c r="E84" s="3">
        <v>2128.6999999999998</v>
      </c>
      <c r="F84">
        <v>126.9</v>
      </c>
      <c r="G84">
        <v>3137</v>
      </c>
      <c r="H84">
        <v>11.6</v>
      </c>
      <c r="I84">
        <v>10.3</v>
      </c>
      <c r="J84">
        <v>333.1</v>
      </c>
      <c r="K84" s="2">
        <f>SUM(H84:J84)</f>
        <v>355</v>
      </c>
      <c r="L84" s="10">
        <f>(E84*G84/F84)/10000</f>
        <v>5.2622000788022056</v>
      </c>
      <c r="M84" s="33">
        <v>3</v>
      </c>
    </row>
    <row r="85" spans="1:13" x14ac:dyDescent="0.2">
      <c r="A85" s="34">
        <v>36411</v>
      </c>
      <c r="B85">
        <v>251</v>
      </c>
      <c r="C85" s="36" t="s">
        <v>109</v>
      </c>
      <c r="D85">
        <f>(52+59+54+59+57)/5</f>
        <v>56.2</v>
      </c>
      <c r="E85" t="e">
        <v>#N/A</v>
      </c>
      <c r="F85" t="e">
        <v>#N/A</v>
      </c>
      <c r="G85" t="e">
        <v>#N/A</v>
      </c>
      <c r="H85" t="e">
        <v>#N/A</v>
      </c>
      <c r="I85" t="e">
        <v>#N/A</v>
      </c>
      <c r="J85" t="e">
        <v>#N/A</v>
      </c>
      <c r="K85" t="e">
        <v>#N/A</v>
      </c>
      <c r="L85" t="e">
        <v>#N/A</v>
      </c>
      <c r="M85" s="33">
        <v>3</v>
      </c>
    </row>
    <row r="86" spans="1:13" x14ac:dyDescent="0.2">
      <c r="A86" s="34">
        <v>36425</v>
      </c>
      <c r="B86">
        <v>265</v>
      </c>
      <c r="C86" s="5" t="s">
        <v>14</v>
      </c>
      <c r="D86">
        <f>(59+52+52+55+52)/5</f>
        <v>54</v>
      </c>
      <c r="E86" s="6">
        <v>1458.9</v>
      </c>
      <c r="F86" s="5">
        <v>150.80000000000001</v>
      </c>
      <c r="G86" s="5">
        <v>3436</v>
      </c>
      <c r="H86" s="5">
        <v>16.399999999999999</v>
      </c>
      <c r="I86" s="5">
        <v>16</v>
      </c>
      <c r="J86" s="5">
        <v>276.2</v>
      </c>
      <c r="K86" s="6">
        <f>SUM(H86:J86)</f>
        <v>308.59999999999997</v>
      </c>
      <c r="L86" s="7">
        <f>(E86*G86/F86)/10000</f>
        <v>3.3241249336870022</v>
      </c>
      <c r="M86" s="33">
        <v>5</v>
      </c>
    </row>
    <row r="87" spans="1:13" x14ac:dyDescent="0.2">
      <c r="A87" s="34">
        <v>36425</v>
      </c>
      <c r="B87">
        <v>265</v>
      </c>
      <c r="C87" t="s">
        <v>15</v>
      </c>
      <c r="D87">
        <f>(55+54+56+57+54)/5</f>
        <v>55.2</v>
      </c>
      <c r="E87" s="3">
        <v>1530.3</v>
      </c>
      <c r="F87">
        <v>150.6</v>
      </c>
      <c r="G87">
        <v>3466</v>
      </c>
      <c r="H87">
        <v>16.399999999999999</v>
      </c>
      <c r="I87">
        <v>16.3</v>
      </c>
      <c r="J87">
        <v>277.8</v>
      </c>
      <c r="K87" s="2">
        <f>SUM(H87:J87)</f>
        <v>310.5</v>
      </c>
      <c r="L87" s="10">
        <f>(E87*G87/F87)/10000</f>
        <v>3.5219254980079686</v>
      </c>
      <c r="M87" s="33">
        <v>5</v>
      </c>
    </row>
    <row r="88" spans="1:13" x14ac:dyDescent="0.2">
      <c r="A88" s="34">
        <v>36425</v>
      </c>
      <c r="B88">
        <v>265</v>
      </c>
      <c r="C88" t="s">
        <v>16</v>
      </c>
      <c r="D88" s="4">
        <f>(57+56+59+63+54)/5</f>
        <v>57.8</v>
      </c>
      <c r="E88" s="3">
        <v>1548.4</v>
      </c>
      <c r="F88">
        <v>150.19999999999999</v>
      </c>
      <c r="G88">
        <v>3502</v>
      </c>
      <c r="H88">
        <v>15.2</v>
      </c>
      <c r="I88">
        <v>15</v>
      </c>
      <c r="J88">
        <v>281.8</v>
      </c>
      <c r="K88" s="2">
        <f>SUM(H88:J88)</f>
        <v>312</v>
      </c>
      <c r="L88" s="10">
        <f>(E88*G88/F88)/10000</f>
        <v>3.6101842876165122</v>
      </c>
      <c r="M88" s="33">
        <v>5</v>
      </c>
    </row>
    <row r="89" spans="1:13" x14ac:dyDescent="0.2">
      <c r="A89" s="34">
        <v>36425</v>
      </c>
      <c r="B89">
        <v>265</v>
      </c>
      <c r="C89" t="s">
        <v>17</v>
      </c>
      <c r="D89">
        <f>(60+58+59+54+65)/5</f>
        <v>59.2</v>
      </c>
      <c r="E89" s="3">
        <v>1555.7</v>
      </c>
      <c r="F89">
        <v>150.69999999999999</v>
      </c>
      <c r="G89">
        <v>3431</v>
      </c>
      <c r="H89">
        <v>16.3</v>
      </c>
      <c r="I89">
        <v>15.1</v>
      </c>
      <c r="J89">
        <v>295.39999999999998</v>
      </c>
      <c r="K89" s="2">
        <f>SUM(H89:J89)</f>
        <v>326.79999999999995</v>
      </c>
      <c r="L89" s="10">
        <f>(E89*G89/F89)/10000</f>
        <v>3.5418757133377579</v>
      </c>
      <c r="M89" s="33">
        <v>5</v>
      </c>
    </row>
    <row r="90" spans="1:13" x14ac:dyDescent="0.2">
      <c r="A90" s="34">
        <v>36425</v>
      </c>
      <c r="B90">
        <v>265</v>
      </c>
      <c r="C90" s="36" t="s">
        <v>108</v>
      </c>
      <c r="D90">
        <f>(58+63+60+65+56)/5</f>
        <v>60.4</v>
      </c>
      <c r="E90" t="e">
        <v>#N/A</v>
      </c>
      <c r="F90" t="e">
        <v>#N/A</v>
      </c>
      <c r="G90" t="e">
        <v>#N/A</v>
      </c>
      <c r="H90" t="e">
        <v>#N/A</v>
      </c>
      <c r="I90" t="e">
        <v>#N/A</v>
      </c>
      <c r="J90" t="e">
        <v>#N/A</v>
      </c>
      <c r="K90" t="e">
        <v>#N/A</v>
      </c>
      <c r="L90" t="e">
        <v>#N/A</v>
      </c>
      <c r="M90" s="33">
        <v>5</v>
      </c>
    </row>
    <row r="91" spans="1:13" x14ac:dyDescent="0.2">
      <c r="A91" s="34">
        <v>36425</v>
      </c>
      <c r="B91">
        <v>265</v>
      </c>
      <c r="C91" t="s">
        <v>8</v>
      </c>
      <c r="D91">
        <f>(61+72+69+66+70)/5</f>
        <v>67.599999999999994</v>
      </c>
      <c r="E91" s="3">
        <v>1937.4</v>
      </c>
      <c r="F91">
        <v>150.1</v>
      </c>
      <c r="G91">
        <v>3336</v>
      </c>
      <c r="H91">
        <v>16.8</v>
      </c>
      <c r="I91">
        <v>15</v>
      </c>
      <c r="J91">
        <v>346</v>
      </c>
      <c r="K91" s="3">
        <f>SUM(H91:J91)</f>
        <v>377.8</v>
      </c>
      <c r="L91" s="10">
        <f>(E91*G91/F91)/10000</f>
        <v>4.3059069953364428</v>
      </c>
      <c r="M91" s="33">
        <v>5</v>
      </c>
    </row>
    <row r="92" spans="1:13" x14ac:dyDescent="0.2">
      <c r="A92" s="34">
        <v>36425</v>
      </c>
      <c r="B92">
        <v>265</v>
      </c>
      <c r="C92" t="s">
        <v>9</v>
      </c>
      <c r="D92">
        <f>(64+64+63+62+66)/5</f>
        <v>63.8</v>
      </c>
      <c r="E92" s="3">
        <v>2105.5</v>
      </c>
      <c r="F92">
        <v>151.19999999999999</v>
      </c>
      <c r="G92">
        <v>3449</v>
      </c>
      <c r="H92">
        <v>17.5</v>
      </c>
      <c r="I92">
        <v>14.8</v>
      </c>
      <c r="J92">
        <v>400.5</v>
      </c>
      <c r="K92" s="3">
        <f>SUM(H92:J92)</f>
        <v>432.8</v>
      </c>
      <c r="L92" s="10">
        <f>(E92*G92/F92)/10000</f>
        <v>4.8028237433862433</v>
      </c>
      <c r="M92" s="33">
        <v>5</v>
      </c>
    </row>
    <row r="93" spans="1:13" x14ac:dyDescent="0.2">
      <c r="A93" s="34">
        <v>36425</v>
      </c>
      <c r="B93">
        <v>265</v>
      </c>
      <c r="C93" t="s">
        <v>10</v>
      </c>
      <c r="D93">
        <f>(56+61+61+60+58)/5</f>
        <v>59.2</v>
      </c>
      <c r="E93" s="3">
        <v>1829.9</v>
      </c>
      <c r="F93">
        <v>151.69999999999999</v>
      </c>
      <c r="G93">
        <v>3119</v>
      </c>
      <c r="H93">
        <v>16.8</v>
      </c>
      <c r="I93">
        <v>14.1</v>
      </c>
      <c r="J93">
        <v>319.10000000000002</v>
      </c>
      <c r="K93" s="3">
        <f>SUM(H93:J93)</f>
        <v>350</v>
      </c>
      <c r="L93" s="10">
        <f>(E93*G93/F93)/10000</f>
        <v>3.7623323005932767</v>
      </c>
      <c r="M93" s="33">
        <v>5</v>
      </c>
    </row>
    <row r="94" spans="1:13" x14ac:dyDescent="0.2">
      <c r="A94" s="34">
        <v>36425</v>
      </c>
      <c r="B94">
        <v>265</v>
      </c>
      <c r="C94" t="s">
        <v>11</v>
      </c>
      <c r="D94">
        <f>(66+62+64+65+68)/5</f>
        <v>65</v>
      </c>
      <c r="E94" s="3">
        <v>1820.7</v>
      </c>
      <c r="F94">
        <v>150</v>
      </c>
      <c r="G94">
        <v>3316</v>
      </c>
      <c r="H94">
        <v>16</v>
      </c>
      <c r="I94">
        <v>14.2</v>
      </c>
      <c r="J94">
        <v>323.8</v>
      </c>
      <c r="K94" s="2">
        <f>SUM(H94:J94)</f>
        <v>354</v>
      </c>
      <c r="L94" s="10">
        <f>(E94*G94/F94)/10000</f>
        <v>4.0249607999999997</v>
      </c>
      <c r="M94" s="33">
        <v>5</v>
      </c>
    </row>
    <row r="95" spans="1:13" x14ac:dyDescent="0.2">
      <c r="A95" s="34">
        <v>36425</v>
      </c>
      <c r="B95">
        <v>265</v>
      </c>
      <c r="C95" s="36" t="s">
        <v>109</v>
      </c>
      <c r="D95">
        <f>(62+63+58+62+63)/5</f>
        <v>61.6</v>
      </c>
      <c r="E95" t="e">
        <v>#N/A</v>
      </c>
      <c r="F95" t="e">
        <v>#N/A</v>
      </c>
      <c r="G95" t="e">
        <v>#N/A</v>
      </c>
      <c r="H95" t="e">
        <v>#N/A</v>
      </c>
      <c r="I95" t="e">
        <v>#N/A</v>
      </c>
      <c r="J95" t="e">
        <v>#N/A</v>
      </c>
      <c r="K95" t="e">
        <v>#N/A</v>
      </c>
      <c r="L95" t="e">
        <v>#N/A</v>
      </c>
      <c r="M95" s="33">
        <v>5</v>
      </c>
    </row>
    <row r="96" spans="1:13" x14ac:dyDescent="0.2">
      <c r="A96" s="34">
        <v>36437</v>
      </c>
      <c r="B96">
        <v>277</v>
      </c>
      <c r="C96" s="5" t="s">
        <v>14</v>
      </c>
      <c r="D96">
        <f>(50+52+55+50+53)/5</f>
        <v>52</v>
      </c>
      <c r="E96" s="6">
        <v>1324.9</v>
      </c>
      <c r="F96">
        <v>150.5</v>
      </c>
      <c r="G96" s="5">
        <v>3562</v>
      </c>
      <c r="H96" s="5">
        <v>15.8</v>
      </c>
      <c r="I96" s="5">
        <v>18.100000000000001</v>
      </c>
      <c r="J96" s="5">
        <v>270.89999999999998</v>
      </c>
      <c r="K96" s="6">
        <f>SUM(H96:J96)</f>
        <v>304.79999999999995</v>
      </c>
      <c r="L96" s="7">
        <f>(E96*G96/F96)/10000</f>
        <v>3.1357433887043191</v>
      </c>
      <c r="M96" s="33">
        <v>6</v>
      </c>
    </row>
    <row r="97" spans="1:13" x14ac:dyDescent="0.2">
      <c r="A97" s="34">
        <v>36437</v>
      </c>
      <c r="B97">
        <v>277</v>
      </c>
      <c r="C97" t="s">
        <v>15</v>
      </c>
      <c r="D97">
        <f>(55+55+52+55+64)/5</f>
        <v>56.2</v>
      </c>
      <c r="E97" s="3">
        <v>1522</v>
      </c>
      <c r="F97">
        <v>151.6</v>
      </c>
      <c r="G97">
        <v>3216</v>
      </c>
      <c r="H97">
        <v>18.600000000000001</v>
      </c>
      <c r="I97">
        <v>16.600000000000001</v>
      </c>
      <c r="J97">
        <v>314.8</v>
      </c>
      <c r="K97" s="2">
        <f>SUM(H97:J97)</f>
        <v>350</v>
      </c>
      <c r="L97" s="13">
        <f>(E97*G97/F97)/10000</f>
        <v>3.2287282321899737</v>
      </c>
      <c r="M97">
        <v>6</v>
      </c>
    </row>
    <row r="98" spans="1:13" x14ac:dyDescent="0.2">
      <c r="A98" s="34">
        <v>36437</v>
      </c>
      <c r="B98">
        <v>277</v>
      </c>
      <c r="C98" t="s">
        <v>16</v>
      </c>
      <c r="D98" s="4">
        <f>(57+52+55+56+59)/5</f>
        <v>55.8</v>
      </c>
      <c r="E98" s="3">
        <v>1458.8</v>
      </c>
      <c r="F98">
        <v>150.30000000000001</v>
      </c>
      <c r="G98">
        <v>3326</v>
      </c>
      <c r="H98">
        <v>18</v>
      </c>
      <c r="I98">
        <v>17.399999999999999</v>
      </c>
      <c r="J98">
        <v>302.3</v>
      </c>
      <c r="K98" s="2">
        <f>SUM(H98:J98)</f>
        <v>337.7</v>
      </c>
      <c r="L98" s="13">
        <f>(E98*G98/F98)/10000</f>
        <v>3.2281894876912838</v>
      </c>
      <c r="M98">
        <v>6</v>
      </c>
    </row>
    <row r="99" spans="1:13" x14ac:dyDescent="0.2">
      <c r="A99" s="34">
        <v>36437</v>
      </c>
      <c r="B99">
        <v>277</v>
      </c>
      <c r="C99" t="s">
        <v>17</v>
      </c>
      <c r="D99">
        <f>(58+58+53+58+65)/5</f>
        <v>58.4</v>
      </c>
      <c r="E99" s="3">
        <v>1419.8</v>
      </c>
      <c r="F99">
        <v>151.69999999999999</v>
      </c>
      <c r="G99">
        <v>3102</v>
      </c>
      <c r="H99">
        <v>19.899999999999999</v>
      </c>
      <c r="I99">
        <v>17.2</v>
      </c>
      <c r="J99">
        <v>286.39999999999998</v>
      </c>
      <c r="K99" s="2">
        <f>SUM(H99:J99)</f>
        <v>323.5</v>
      </c>
      <c r="L99" s="13">
        <f>(E99*G99/F99)/10000</f>
        <v>2.9032429795649306</v>
      </c>
      <c r="M99">
        <v>6</v>
      </c>
    </row>
    <row r="100" spans="1:13" x14ac:dyDescent="0.2">
      <c r="A100" s="34">
        <v>36437</v>
      </c>
      <c r="B100">
        <v>277</v>
      </c>
      <c r="C100" s="36" t="s">
        <v>108</v>
      </c>
      <c r="D100">
        <f>(63+59+61+65+61)/5</f>
        <v>61.8</v>
      </c>
      <c r="E100" t="e">
        <v>#N/A</v>
      </c>
      <c r="F100" t="e">
        <v>#N/A</v>
      </c>
      <c r="G100" t="e">
        <v>#N/A</v>
      </c>
      <c r="H100" t="e">
        <v>#N/A</v>
      </c>
      <c r="I100" t="e">
        <v>#N/A</v>
      </c>
      <c r="J100" t="e">
        <v>#N/A</v>
      </c>
      <c r="K100" t="e">
        <v>#N/A</v>
      </c>
      <c r="L100" t="e">
        <v>#N/A</v>
      </c>
      <c r="M100">
        <v>6</v>
      </c>
    </row>
    <row r="101" spans="1:13" x14ac:dyDescent="0.2">
      <c r="A101" s="34">
        <v>36437</v>
      </c>
      <c r="B101">
        <v>277</v>
      </c>
      <c r="C101" t="s">
        <v>8</v>
      </c>
      <c r="D101" s="12">
        <v>60</v>
      </c>
      <c r="E101" s="3">
        <v>1869.1</v>
      </c>
      <c r="F101" s="4">
        <v>150.6</v>
      </c>
      <c r="G101">
        <v>3280</v>
      </c>
      <c r="H101">
        <v>18</v>
      </c>
      <c r="I101">
        <v>14.1</v>
      </c>
      <c r="J101">
        <v>379</v>
      </c>
      <c r="K101" s="3">
        <f>SUM(H101:J101)</f>
        <v>411.1</v>
      </c>
      <c r="L101" s="13">
        <f>(E101*G101/F101)/10000</f>
        <v>4.0708154050464804</v>
      </c>
      <c r="M101">
        <v>5</v>
      </c>
    </row>
    <row r="102" spans="1:13" x14ac:dyDescent="0.2">
      <c r="A102" s="34">
        <v>36437</v>
      </c>
      <c r="B102">
        <v>277</v>
      </c>
      <c r="C102" t="s">
        <v>9</v>
      </c>
      <c r="D102" s="12">
        <v>65</v>
      </c>
      <c r="E102" s="3">
        <v>1818.5</v>
      </c>
      <c r="F102">
        <v>153.80000000000001</v>
      </c>
      <c r="G102">
        <v>3364</v>
      </c>
      <c r="H102">
        <v>19.7</v>
      </c>
      <c r="I102">
        <v>15.5</v>
      </c>
      <c r="J102">
        <v>372.5</v>
      </c>
      <c r="K102" s="3">
        <f>SUM(H102:J102)</f>
        <v>407.7</v>
      </c>
      <c r="L102" s="13">
        <f>(E102*G102/F102)/10000</f>
        <v>3.977525357607282</v>
      </c>
      <c r="M102">
        <v>5</v>
      </c>
    </row>
    <row r="103" spans="1:13" x14ac:dyDescent="0.2">
      <c r="A103" s="34">
        <v>36437</v>
      </c>
      <c r="B103">
        <v>277</v>
      </c>
      <c r="C103" t="s">
        <v>10</v>
      </c>
      <c r="D103" s="12">
        <v>60</v>
      </c>
      <c r="E103" s="3">
        <v>1904.7</v>
      </c>
      <c r="F103">
        <v>153</v>
      </c>
      <c r="G103">
        <v>3313</v>
      </c>
      <c r="H103">
        <v>19.399999999999999</v>
      </c>
      <c r="I103">
        <v>15.3</v>
      </c>
      <c r="J103">
        <v>383.9</v>
      </c>
      <c r="K103" s="3">
        <f>SUM(H103:J103)</f>
        <v>418.59999999999997</v>
      </c>
      <c r="L103" s="13">
        <f>(E103*G103/F103)/10000</f>
        <v>4.124360196078432</v>
      </c>
      <c r="M103">
        <v>5</v>
      </c>
    </row>
    <row r="104" spans="1:13" x14ac:dyDescent="0.2">
      <c r="A104" s="34">
        <v>36437</v>
      </c>
      <c r="B104">
        <v>277</v>
      </c>
      <c r="C104" t="s">
        <v>11</v>
      </c>
      <c r="D104" s="12">
        <v>60</v>
      </c>
      <c r="E104" s="3">
        <v>1976.9</v>
      </c>
      <c r="F104">
        <v>150.6</v>
      </c>
      <c r="G104">
        <v>3490</v>
      </c>
      <c r="H104">
        <v>17.3</v>
      </c>
      <c r="I104">
        <v>15.4</v>
      </c>
      <c r="J104">
        <v>398.9</v>
      </c>
      <c r="K104" s="2">
        <f>SUM(H104:J104)</f>
        <v>431.59999999999997</v>
      </c>
      <c r="L104" s="13">
        <f>(E104*G104/F104)/10000</f>
        <v>4.5812622841965469</v>
      </c>
      <c r="M104">
        <v>5</v>
      </c>
    </row>
    <row r="105" spans="1:13" x14ac:dyDescent="0.2">
      <c r="A105" s="34">
        <v>36437</v>
      </c>
      <c r="B105">
        <v>277</v>
      </c>
      <c r="C105" s="36" t="s">
        <v>109</v>
      </c>
      <c r="D105">
        <v>55</v>
      </c>
      <c r="E105" t="e">
        <v>#N/A</v>
      </c>
      <c r="F105" t="e">
        <v>#N/A</v>
      </c>
      <c r="G105" t="e">
        <v>#N/A</v>
      </c>
      <c r="H105" t="e">
        <v>#N/A</v>
      </c>
      <c r="I105" t="e">
        <v>#N/A</v>
      </c>
      <c r="J105" t="e">
        <v>#N/A</v>
      </c>
      <c r="K105" t="e">
        <v>#N/A</v>
      </c>
      <c r="L105" t="e">
        <v>#N/A</v>
      </c>
      <c r="M105">
        <v>5</v>
      </c>
    </row>
    <row r="106" spans="1:13" x14ac:dyDescent="0.2">
      <c r="A106" s="34">
        <v>36313</v>
      </c>
      <c r="B106">
        <v>153</v>
      </c>
      <c r="C106" s="5" t="s">
        <v>112</v>
      </c>
      <c r="D106">
        <f>(64+64+63+65+63)/5</f>
        <v>63.8</v>
      </c>
      <c r="E106" s="4">
        <f>(4534.9+6570.9+2346+3235)</f>
        <v>16686.8</v>
      </c>
      <c r="F106" s="5">
        <v>177.1</v>
      </c>
      <c r="G106" s="8">
        <v>2023.58</v>
      </c>
      <c r="H106" s="5">
        <v>19.5</v>
      </c>
      <c r="I106" s="5">
        <v>13.6</v>
      </c>
      <c r="J106">
        <f>631.3+623.5+660.1+669.9+615.9</f>
        <v>3200.7000000000003</v>
      </c>
      <c r="K106" s="6">
        <f>(SUM(H106:I109)+J106)</f>
        <v>3346.1000000000004</v>
      </c>
      <c r="L106" s="7">
        <f>(E106*G106/F106)/90000</f>
        <v>2.1185190252838946</v>
      </c>
      <c r="M106">
        <v>4</v>
      </c>
    </row>
    <row r="107" spans="1:13" x14ac:dyDescent="0.2">
      <c r="A107" s="34">
        <v>36313</v>
      </c>
      <c r="B107">
        <v>153</v>
      </c>
      <c r="C107" t="s">
        <v>113</v>
      </c>
      <c r="D107" t="e">
        <v>#N/A</v>
      </c>
      <c r="E107" s="4">
        <f>(4534.9+6570.9+2346+3235)</f>
        <v>16686.8</v>
      </c>
      <c r="F107">
        <v>177</v>
      </c>
      <c r="G107" s="9">
        <v>2382.91</v>
      </c>
      <c r="H107">
        <v>21.9</v>
      </c>
      <c r="I107">
        <v>15.1</v>
      </c>
      <c r="J107" t="e">
        <v>#N/A</v>
      </c>
      <c r="K107" t="e">
        <v>#N/A</v>
      </c>
      <c r="L107" s="10">
        <f>(E107*G107/F107)/90000</f>
        <v>2.4961169232893909</v>
      </c>
      <c r="M107">
        <v>4</v>
      </c>
    </row>
    <row r="108" spans="1:13" x14ac:dyDescent="0.2">
      <c r="A108" s="34">
        <v>36313</v>
      </c>
      <c r="B108">
        <v>153</v>
      </c>
      <c r="C108" t="s">
        <v>114</v>
      </c>
      <c r="D108" t="e">
        <v>#N/A</v>
      </c>
      <c r="E108" s="4">
        <f>(4534.9+6570.9+2346+3235)</f>
        <v>16686.8</v>
      </c>
      <c r="F108">
        <v>176.1</v>
      </c>
      <c r="G108" s="9">
        <v>2214.56</v>
      </c>
      <c r="H108">
        <v>22</v>
      </c>
      <c r="I108">
        <v>15</v>
      </c>
      <c r="J108" t="e">
        <v>#N/A</v>
      </c>
      <c r="K108" t="e">
        <v>#N/A</v>
      </c>
      <c r="L108" s="10">
        <f>(E108*G108/F108)/90000</f>
        <v>2.3316246960691527</v>
      </c>
      <c r="M108">
        <v>4</v>
      </c>
    </row>
    <row r="109" spans="1:13" x14ac:dyDescent="0.2">
      <c r="A109" s="34">
        <v>36313</v>
      </c>
      <c r="B109">
        <v>153</v>
      </c>
      <c r="C109" t="s">
        <v>115</v>
      </c>
      <c r="D109" t="e">
        <v>#N/A</v>
      </c>
      <c r="E109" s="4">
        <f>(4534.9+6570.9+2346+3235)</f>
        <v>16686.8</v>
      </c>
      <c r="F109">
        <v>183.9</v>
      </c>
      <c r="G109" s="9">
        <v>2381.89</v>
      </c>
      <c r="H109">
        <v>22.7</v>
      </c>
      <c r="I109">
        <v>15.6</v>
      </c>
      <c r="J109" t="e">
        <v>#N/A</v>
      </c>
      <c r="K109" t="e">
        <v>#N/A</v>
      </c>
      <c r="L109" s="10">
        <f>(E109*G109/F109)/90000</f>
        <v>2.4014332700138961</v>
      </c>
      <c r="M109">
        <v>4</v>
      </c>
    </row>
    <row r="110" spans="1:13" x14ac:dyDescent="0.2">
      <c r="A110" s="34">
        <v>36313</v>
      </c>
      <c r="B110">
        <v>153</v>
      </c>
      <c r="C110" t="s">
        <v>116</v>
      </c>
      <c r="D110">
        <f>(65+70+66+67+71)/5</f>
        <v>67.8</v>
      </c>
      <c r="E110">
        <f>(4500.8+2839.6+2617+3716.7+5482)</f>
        <v>19156.099999999999</v>
      </c>
      <c r="F110">
        <v>183.4</v>
      </c>
      <c r="G110" s="9">
        <v>2803.58</v>
      </c>
      <c r="H110">
        <v>21</v>
      </c>
      <c r="I110">
        <v>14</v>
      </c>
      <c r="J110">
        <f>501.8+499.49+510.8+566.7+515.6+320.8+612.7</f>
        <v>3527.8900000000003</v>
      </c>
      <c r="K110" s="2">
        <f>(SUM(H110:I113)+J110)</f>
        <v>3671.7900000000004</v>
      </c>
      <c r="L110" s="10">
        <f>(E110*G110/F110)/90000</f>
        <v>3.2537052488791951</v>
      </c>
      <c r="M110">
        <v>4</v>
      </c>
    </row>
    <row r="111" spans="1:13" x14ac:dyDescent="0.2">
      <c r="A111" s="34">
        <v>36313</v>
      </c>
      <c r="B111">
        <v>153</v>
      </c>
      <c r="C111" t="s">
        <v>117</v>
      </c>
      <c r="D111" t="e">
        <v>#N/A</v>
      </c>
      <c r="E111">
        <f>(4500.8+2839.6+2617+3716.7+5482)</f>
        <v>19156.099999999999</v>
      </c>
      <c r="F111">
        <v>185.2</v>
      </c>
      <c r="G111" s="9">
        <v>2758.86</v>
      </c>
      <c r="H111">
        <v>21.8</v>
      </c>
      <c r="I111">
        <v>15</v>
      </c>
      <c r="J111" t="e">
        <v>#N/A</v>
      </c>
      <c r="K111" t="e">
        <v>#N/A</v>
      </c>
      <c r="L111" s="10">
        <f>(E111*G111/F111)/90000</f>
        <v>3.1706862278617711</v>
      </c>
      <c r="M111">
        <v>4</v>
      </c>
    </row>
    <row r="112" spans="1:13" x14ac:dyDescent="0.2">
      <c r="A112" s="34">
        <v>36313</v>
      </c>
      <c r="B112">
        <v>153</v>
      </c>
      <c r="C112" t="s">
        <v>118</v>
      </c>
      <c r="D112" t="e">
        <v>#N/A</v>
      </c>
      <c r="E112">
        <f>(4500.8+2839.6+2617+3716.7+5482)</f>
        <v>19156.099999999999</v>
      </c>
      <c r="F112">
        <v>175.4</v>
      </c>
      <c r="G112" s="9">
        <v>2284.38</v>
      </c>
      <c r="H112">
        <v>20.8</v>
      </c>
      <c r="I112">
        <v>13.8</v>
      </c>
      <c r="J112" t="e">
        <v>#N/A</v>
      </c>
      <c r="K112" t="e">
        <v>#N/A</v>
      </c>
      <c r="L112" s="10">
        <f>(E112*G112/F112)/90000</f>
        <v>2.7720645963511972</v>
      </c>
      <c r="M112">
        <v>4</v>
      </c>
    </row>
    <row r="113" spans="1:13" x14ac:dyDescent="0.2">
      <c r="A113" s="34">
        <v>36313</v>
      </c>
      <c r="B113">
        <v>153</v>
      </c>
      <c r="C113" t="s">
        <v>119</v>
      </c>
      <c r="D113" t="e">
        <v>#N/A</v>
      </c>
      <c r="E113">
        <f>(4500.8+2839.6+2617+3716.7+5482)</f>
        <v>19156.099999999999</v>
      </c>
      <c r="F113">
        <v>189.4</v>
      </c>
      <c r="G113" s="9">
        <v>2404.23</v>
      </c>
      <c r="H113">
        <v>22.6</v>
      </c>
      <c r="I113">
        <v>14.9</v>
      </c>
      <c r="J113" t="e">
        <v>#N/A</v>
      </c>
      <c r="K113" t="e">
        <v>#N/A</v>
      </c>
      <c r="L113" s="10">
        <f>(E113*G113/F113)/90000</f>
        <v>2.7018461986976412</v>
      </c>
      <c r="M113">
        <v>4</v>
      </c>
    </row>
    <row r="114" spans="1:13" x14ac:dyDescent="0.2">
      <c r="A114" s="34">
        <v>36347</v>
      </c>
      <c r="B114">
        <v>187</v>
      </c>
      <c r="C114" s="5" t="s">
        <v>112</v>
      </c>
      <c r="D114">
        <f>(74+71+76+73+72)/5</f>
        <v>73.2</v>
      </c>
      <c r="E114" s="4">
        <f>2369+3532.4+2737.3+3817.2+2552.9</f>
        <v>15008.800000000001</v>
      </c>
      <c r="F114" s="5">
        <v>157</v>
      </c>
      <c r="G114" s="8">
        <v>2160.14</v>
      </c>
      <c r="H114" s="5">
        <v>22.4</v>
      </c>
      <c r="I114" s="5">
        <v>11.8</v>
      </c>
      <c r="J114">
        <f>545.2+480.04+528.48+566.35+555.7+456.64</f>
        <v>3132.4100000000003</v>
      </c>
      <c r="K114" s="2">
        <f>(SUM(H114:I117)+J114)</f>
        <v>3269.01</v>
      </c>
      <c r="L114" s="7">
        <f>(E114*G114/F114)/90000</f>
        <v>2.2944875606510968</v>
      </c>
      <c r="M114">
        <v>6</v>
      </c>
    </row>
    <row r="115" spans="1:13" x14ac:dyDescent="0.2">
      <c r="A115" s="34">
        <v>36347</v>
      </c>
      <c r="B115">
        <v>187</v>
      </c>
      <c r="C115" t="s">
        <v>113</v>
      </c>
      <c r="D115" t="e">
        <v>#N/A</v>
      </c>
      <c r="E115" s="4">
        <f>2369+3532.4+2737.3+3817.2+2552.9</f>
        <v>15008.800000000001</v>
      </c>
      <c r="F115">
        <v>152.1</v>
      </c>
      <c r="G115" s="9">
        <v>2342.42</v>
      </c>
      <c r="H115">
        <v>21.5</v>
      </c>
      <c r="I115">
        <v>12.7</v>
      </c>
      <c r="J115" t="e">
        <v>#N/A</v>
      </c>
      <c r="K115" t="e">
        <v>#N/A</v>
      </c>
      <c r="L115" s="10">
        <f>(E115*G115/F115)/90000</f>
        <v>2.5682601574987221</v>
      </c>
      <c r="M115">
        <v>6</v>
      </c>
    </row>
    <row r="116" spans="1:13" x14ac:dyDescent="0.2">
      <c r="A116" s="34">
        <v>36347</v>
      </c>
      <c r="B116">
        <v>187</v>
      </c>
      <c r="C116" t="s">
        <v>114</v>
      </c>
      <c r="D116" t="e">
        <v>#N/A</v>
      </c>
      <c r="E116" s="4">
        <f>2369+3532.4+2737.3+3817.2+2552.9</f>
        <v>15008.800000000001</v>
      </c>
      <c r="F116">
        <v>154.30000000000001</v>
      </c>
      <c r="G116" s="9">
        <v>2254.35</v>
      </c>
      <c r="H116">
        <v>21.8</v>
      </c>
      <c r="I116">
        <v>12.4</v>
      </c>
      <c r="J116" t="e">
        <v>#N/A</v>
      </c>
      <c r="K116" t="e">
        <v>#N/A</v>
      </c>
      <c r="L116" s="10">
        <f>(E116*G116/F116)/90000</f>
        <v>2.4364577144091597</v>
      </c>
      <c r="M116">
        <v>6</v>
      </c>
    </row>
    <row r="117" spans="1:13" x14ac:dyDescent="0.2">
      <c r="A117" s="34">
        <v>36347</v>
      </c>
      <c r="B117">
        <v>187</v>
      </c>
      <c r="C117" t="s">
        <v>115</v>
      </c>
      <c r="D117" t="e">
        <v>#N/A</v>
      </c>
      <c r="E117" s="4">
        <f>2369+3532.4+2737.3+3817.2+2552.9</f>
        <v>15008.800000000001</v>
      </c>
      <c r="F117">
        <v>158.30000000000001</v>
      </c>
      <c r="G117" s="9">
        <v>1999.63</v>
      </c>
      <c r="H117">
        <v>21.8</v>
      </c>
      <c r="I117">
        <v>12.2</v>
      </c>
      <c r="J117" t="e">
        <v>#N/A</v>
      </c>
      <c r="K117" t="e">
        <v>#N/A</v>
      </c>
      <c r="L117" s="10">
        <f>(E117*G117/F117)/90000</f>
        <v>2.1065520280760861</v>
      </c>
      <c r="M117">
        <v>6</v>
      </c>
    </row>
    <row r="118" spans="1:13" x14ac:dyDescent="0.2">
      <c r="A118" s="34">
        <v>36347</v>
      </c>
      <c r="B118">
        <v>187</v>
      </c>
      <c r="C118" t="s">
        <v>116</v>
      </c>
      <c r="D118">
        <f>(72+74+72+72+73)/5</f>
        <v>72.599999999999994</v>
      </c>
      <c r="E118">
        <f>(2288.1+2781+2430.2+3772+4135.8)</f>
        <v>15407.099999999999</v>
      </c>
      <c r="F118">
        <v>156.80000000000001</v>
      </c>
      <c r="G118" s="9">
        <v>2065.88</v>
      </c>
      <c r="H118">
        <v>20.9</v>
      </c>
      <c r="I118">
        <v>12.4</v>
      </c>
      <c r="J118">
        <f>530.5+495.17+560.6+527.9+490.4+605.6</f>
        <v>3210.17</v>
      </c>
      <c r="K118" s="2">
        <f>(SUM(H118:I121)+J118)</f>
        <v>3343.87</v>
      </c>
      <c r="L118" s="10">
        <f>(E118*G118/F118)/90000</f>
        <v>2.2554719209183669</v>
      </c>
      <c r="M118">
        <v>6</v>
      </c>
    </row>
    <row r="119" spans="1:13" x14ac:dyDescent="0.2">
      <c r="A119" s="34">
        <v>36347</v>
      </c>
      <c r="B119">
        <v>187</v>
      </c>
      <c r="C119" t="s">
        <v>117</v>
      </c>
      <c r="D119" t="e">
        <v>#N/A</v>
      </c>
      <c r="E119">
        <f>(2288.1+2781+2430.2+3772+4135.8)</f>
        <v>15407.099999999999</v>
      </c>
      <c r="F119">
        <v>157.30000000000001</v>
      </c>
      <c r="G119" s="9">
        <v>2316.25</v>
      </c>
      <c r="H119">
        <v>22.2</v>
      </c>
      <c r="I119">
        <v>12.9</v>
      </c>
      <c r="J119" t="e">
        <v>#N/A</v>
      </c>
      <c r="K119" t="e">
        <v>#N/A</v>
      </c>
      <c r="L119" s="10">
        <f>(E119*G119/F119)/90000</f>
        <v>2.5207809122695486</v>
      </c>
      <c r="M119">
        <v>6</v>
      </c>
    </row>
    <row r="120" spans="1:13" x14ac:dyDescent="0.2">
      <c r="A120" s="34">
        <v>36347</v>
      </c>
      <c r="B120">
        <v>187</v>
      </c>
      <c r="C120" t="s">
        <v>118</v>
      </c>
      <c r="D120" t="e">
        <v>#N/A</v>
      </c>
      <c r="E120">
        <f>(2288.1+2781+2430.2+3772+4135.8)</f>
        <v>15407.099999999999</v>
      </c>
      <c r="F120">
        <v>155.1</v>
      </c>
      <c r="G120" s="9">
        <v>2880.39</v>
      </c>
      <c r="H120">
        <v>20.6</v>
      </c>
      <c r="I120">
        <v>12.1</v>
      </c>
      <c r="J120" t="e">
        <v>#N/A</v>
      </c>
      <c r="K120" t="e">
        <v>#N/A</v>
      </c>
      <c r="L120" s="10">
        <f>(E120*G120/F120)/90000</f>
        <v>3.1792002843326883</v>
      </c>
      <c r="M120">
        <v>6</v>
      </c>
    </row>
    <row r="121" spans="1:13" x14ac:dyDescent="0.2">
      <c r="A121" s="34">
        <v>36347</v>
      </c>
      <c r="B121">
        <v>187</v>
      </c>
      <c r="C121" t="s">
        <v>119</v>
      </c>
      <c r="D121" t="e">
        <v>#N/A</v>
      </c>
      <c r="E121">
        <f>(2288.1+2781+2430.2+3772+4135.8)</f>
        <v>15407.099999999999</v>
      </c>
      <c r="F121">
        <v>153.5</v>
      </c>
      <c r="G121" s="9">
        <v>2207.23</v>
      </c>
      <c r="H121">
        <v>21.7</v>
      </c>
      <c r="I121">
        <v>10.9</v>
      </c>
      <c r="J121" t="e">
        <v>#N/A</v>
      </c>
      <c r="K121" t="e">
        <v>#N/A</v>
      </c>
      <c r="L121" s="10">
        <f>(E121*G121/F121)/90000</f>
        <v>2.4616006755700321</v>
      </c>
      <c r="M121">
        <v>6</v>
      </c>
    </row>
    <row r="122" spans="1:13" x14ac:dyDescent="0.2">
      <c r="A122" s="34">
        <v>36384</v>
      </c>
      <c r="B122">
        <v>224</v>
      </c>
      <c r="C122" s="5" t="s">
        <v>112</v>
      </c>
      <c r="D122">
        <v>50</v>
      </c>
      <c r="E122" s="4">
        <f>(3248+4832+4534+3805)</f>
        <v>16419</v>
      </c>
      <c r="F122" s="5">
        <v>151</v>
      </c>
      <c r="G122" s="8">
        <v>2313.08</v>
      </c>
      <c r="H122" s="5">
        <v>22</v>
      </c>
      <c r="I122" s="5">
        <v>11.4</v>
      </c>
      <c r="J122">
        <f>529.79+500.07+400.4+596.9+472.4+544.3+505</f>
        <v>3548.8599999999997</v>
      </c>
      <c r="K122" s="2">
        <f>(SUM(H122:I125)+J122)</f>
        <v>3681.5599999999995</v>
      </c>
      <c r="L122" s="7">
        <f>(E122*G122/F122)/90000</f>
        <v>2.7945887064017656</v>
      </c>
      <c r="M122">
        <v>6</v>
      </c>
    </row>
    <row r="123" spans="1:13" x14ac:dyDescent="0.2">
      <c r="A123" s="34">
        <v>36384</v>
      </c>
      <c r="B123">
        <v>224</v>
      </c>
      <c r="C123" t="s">
        <v>113</v>
      </c>
      <c r="D123" t="e">
        <v>#N/A</v>
      </c>
      <c r="E123" s="4">
        <f>(3248+4832+4534+3805)</f>
        <v>16419</v>
      </c>
      <c r="F123">
        <v>147</v>
      </c>
      <c r="G123" s="9">
        <v>2073.44</v>
      </c>
      <c r="H123">
        <v>21.8</v>
      </c>
      <c r="I123">
        <v>10.7</v>
      </c>
      <c r="J123" t="e">
        <v>#N/A</v>
      </c>
      <c r="K123" t="e">
        <v>#N/A</v>
      </c>
      <c r="L123" s="10">
        <f>(E123*G123/F123)/90000</f>
        <v>2.5732283718820863</v>
      </c>
      <c r="M123">
        <v>6</v>
      </c>
    </row>
    <row r="124" spans="1:13" x14ac:dyDescent="0.2">
      <c r="A124" s="34">
        <v>36384</v>
      </c>
      <c r="B124">
        <v>224</v>
      </c>
      <c r="C124" t="s">
        <v>114</v>
      </c>
      <c r="D124" t="e">
        <v>#N/A</v>
      </c>
      <c r="E124" s="4">
        <f>(3248+4832+4534+3805)</f>
        <v>16419</v>
      </c>
      <c r="F124">
        <v>151</v>
      </c>
      <c r="G124" s="9">
        <v>2248.08</v>
      </c>
      <c r="H124">
        <v>23</v>
      </c>
      <c r="I124">
        <v>11.8</v>
      </c>
      <c r="J124" t="e">
        <v>#N/A</v>
      </c>
      <c r="K124" t="e">
        <v>#N/A</v>
      </c>
      <c r="L124" s="10">
        <f>(E124*G124/F124)/90000</f>
        <v>2.7160578013245029</v>
      </c>
      <c r="M124">
        <v>6</v>
      </c>
    </row>
    <row r="125" spans="1:13" x14ac:dyDescent="0.2">
      <c r="A125" s="34">
        <v>36384</v>
      </c>
      <c r="B125">
        <v>224</v>
      </c>
      <c r="C125" t="s">
        <v>115</v>
      </c>
      <c r="D125" t="e">
        <v>#N/A</v>
      </c>
      <c r="E125" s="4">
        <f>(3248+4832+4534+3805)</f>
        <v>16419</v>
      </c>
      <c r="F125">
        <v>147</v>
      </c>
      <c r="G125" s="9">
        <v>2650.22</v>
      </c>
      <c r="H125">
        <v>20.100000000000001</v>
      </c>
      <c r="I125">
        <v>11.9</v>
      </c>
      <c r="J125" t="e">
        <v>#N/A</v>
      </c>
      <c r="K125" t="e">
        <v>#N/A</v>
      </c>
      <c r="L125" s="10">
        <f>(E125*G125/F125)/90000</f>
        <v>3.2890372018140592</v>
      </c>
      <c r="M125">
        <v>6</v>
      </c>
    </row>
    <row r="126" spans="1:13" x14ac:dyDescent="0.2">
      <c r="A126" s="34">
        <v>36384</v>
      </c>
      <c r="B126">
        <v>224</v>
      </c>
      <c r="C126" t="s">
        <v>116</v>
      </c>
      <c r="D126">
        <v>50</v>
      </c>
      <c r="E126">
        <f>(2544+6554+5110+2841)</f>
        <v>17049</v>
      </c>
      <c r="F126">
        <v>148</v>
      </c>
      <c r="G126" s="9">
        <v>2131.48</v>
      </c>
      <c r="H126">
        <v>22.1</v>
      </c>
      <c r="I126">
        <v>10.4</v>
      </c>
      <c r="J126">
        <f>258.2+430.4+398.46+450.8+435.8+350.7+371.7+407.5+389.1</f>
        <v>3492.6599999999994</v>
      </c>
      <c r="K126" s="2">
        <f>(SUM(H126:I129)+J126)</f>
        <v>3622.0599999999995</v>
      </c>
      <c r="L126" s="13">
        <f>(E126*G126/F126)/90000</f>
        <v>2.7281983873873878</v>
      </c>
      <c r="M126">
        <v>6</v>
      </c>
    </row>
    <row r="127" spans="1:13" x14ac:dyDescent="0.2">
      <c r="A127" s="34">
        <v>36384</v>
      </c>
      <c r="B127">
        <v>224</v>
      </c>
      <c r="C127" t="s">
        <v>117</v>
      </c>
      <c r="D127" t="e">
        <v>#N/A</v>
      </c>
      <c r="E127">
        <f>(2544+6554+5110+2841)</f>
        <v>17049</v>
      </c>
      <c r="F127">
        <v>146</v>
      </c>
      <c r="G127" s="9">
        <v>2215.8200000000002</v>
      </c>
      <c r="H127">
        <v>21.3</v>
      </c>
      <c r="I127">
        <v>10</v>
      </c>
      <c r="J127" t="e">
        <v>#N/A</v>
      </c>
      <c r="K127" t="e">
        <v>#N/A</v>
      </c>
      <c r="L127" s="10">
        <f>(E127*G127/F127)/90000</f>
        <v>2.8750011552511419</v>
      </c>
      <c r="M127">
        <v>6</v>
      </c>
    </row>
    <row r="128" spans="1:13" x14ac:dyDescent="0.2">
      <c r="A128" s="34">
        <v>36384</v>
      </c>
      <c r="B128">
        <v>224</v>
      </c>
      <c r="C128" t="s">
        <v>118</v>
      </c>
      <c r="D128" t="e">
        <v>#N/A</v>
      </c>
      <c r="E128">
        <f>(2544+6554+5110+2841)</f>
        <v>17049</v>
      </c>
      <c r="F128">
        <v>154</v>
      </c>
      <c r="G128" s="9">
        <v>2280.7800000000002</v>
      </c>
      <c r="H128">
        <v>21.9</v>
      </c>
      <c r="I128">
        <v>10.8</v>
      </c>
      <c r="J128" t="e">
        <v>#N/A</v>
      </c>
      <c r="K128" t="e">
        <v>#N/A</v>
      </c>
      <c r="L128" s="10">
        <f>(E128*G128/F128)/90000</f>
        <v>2.8055568701298705</v>
      </c>
      <c r="M128">
        <v>6</v>
      </c>
    </row>
    <row r="129" spans="1:13" x14ac:dyDescent="0.2">
      <c r="A129" s="34">
        <v>36384</v>
      </c>
      <c r="B129">
        <v>224</v>
      </c>
      <c r="C129" t="s">
        <v>119</v>
      </c>
      <c r="D129" t="e">
        <v>#N/A</v>
      </c>
      <c r="E129">
        <f>(2544+6554+5110+2841)</f>
        <v>17049</v>
      </c>
      <c r="F129">
        <v>151</v>
      </c>
      <c r="G129" s="9">
        <v>2692.52</v>
      </c>
      <c r="H129">
        <v>21.3</v>
      </c>
      <c r="I129">
        <v>11.6</v>
      </c>
      <c r="J129" t="e">
        <v>#N/A</v>
      </c>
      <c r="K129" t="e">
        <v>#N/A</v>
      </c>
      <c r="L129" s="10">
        <f>(E129*G129/F129)/90000</f>
        <v>3.3778346931567325</v>
      </c>
      <c r="M129">
        <v>6</v>
      </c>
    </row>
    <row r="130" spans="1:13" x14ac:dyDescent="0.2">
      <c r="A130" s="34">
        <v>36438</v>
      </c>
      <c r="B130">
        <v>278</v>
      </c>
      <c r="C130" s="5" t="s">
        <v>112</v>
      </c>
      <c r="D130">
        <v>61.8</v>
      </c>
      <c r="E130" s="4">
        <f>(2688.8+5043+4333.2)</f>
        <v>12065</v>
      </c>
      <c r="F130" s="5">
        <v>151.1</v>
      </c>
      <c r="G130" s="8">
        <v>3562</v>
      </c>
      <c r="H130" s="5">
        <v>17.8</v>
      </c>
      <c r="I130" s="5">
        <v>18.899999999999999</v>
      </c>
      <c r="J130">
        <v>2715.6</v>
      </c>
      <c r="K130" s="2">
        <f>(SUM(H130:I133)+J130)</f>
        <v>2864.1</v>
      </c>
      <c r="L130" s="7">
        <f>(E130*G130/F130)/90000</f>
        <v>3.1601978086624016</v>
      </c>
      <c r="M130">
        <v>6</v>
      </c>
    </row>
    <row r="131" spans="1:13" x14ac:dyDescent="0.2">
      <c r="A131" s="34">
        <v>36438</v>
      </c>
      <c r="B131">
        <v>278</v>
      </c>
      <c r="C131" t="s">
        <v>113</v>
      </c>
      <c r="D131" t="e">
        <v>#N/A</v>
      </c>
      <c r="E131" s="4">
        <f>(2688.8+5043+4333.2)</f>
        <v>12065</v>
      </c>
      <c r="F131">
        <v>151.69999999999999</v>
      </c>
      <c r="G131" s="9">
        <v>3266</v>
      </c>
      <c r="H131">
        <v>19.100000000000001</v>
      </c>
      <c r="I131">
        <v>16.7</v>
      </c>
      <c r="J131" t="e">
        <v>#N/A</v>
      </c>
      <c r="K131" t="e">
        <v>#N/A</v>
      </c>
      <c r="L131" s="10">
        <f>(E131*G131/F131)/90000</f>
        <v>2.8861268585658832</v>
      </c>
      <c r="M131">
        <v>6</v>
      </c>
    </row>
    <row r="132" spans="1:13" x14ac:dyDescent="0.2">
      <c r="A132" s="34">
        <v>36438</v>
      </c>
      <c r="B132">
        <v>278</v>
      </c>
      <c r="C132" t="s">
        <v>114</v>
      </c>
      <c r="D132" t="e">
        <v>#N/A</v>
      </c>
      <c r="E132" s="4">
        <f>(2688.8+5043+4333.2)</f>
        <v>12065</v>
      </c>
      <c r="F132">
        <v>152.4</v>
      </c>
      <c r="G132" s="9">
        <v>3466</v>
      </c>
      <c r="H132">
        <v>20.5</v>
      </c>
      <c r="I132">
        <v>18.3</v>
      </c>
      <c r="J132" t="e">
        <v>#N/A</v>
      </c>
      <c r="K132" t="e">
        <v>#N/A</v>
      </c>
      <c r="L132" s="10">
        <f>(E132*G132/F132)/90000</f>
        <v>3.0487962962962958</v>
      </c>
      <c r="M132">
        <v>6</v>
      </c>
    </row>
    <row r="133" spans="1:13" x14ac:dyDescent="0.2">
      <c r="A133" s="34">
        <v>36438</v>
      </c>
      <c r="B133">
        <v>278</v>
      </c>
      <c r="C133" t="s">
        <v>115</v>
      </c>
      <c r="D133" t="e">
        <v>#N/A</v>
      </c>
      <c r="E133" s="4">
        <f>(2688.8+5043+4333.2)</f>
        <v>12065</v>
      </c>
      <c r="F133">
        <v>150.69999999999999</v>
      </c>
      <c r="G133" s="9">
        <v>3222</v>
      </c>
      <c r="H133">
        <v>19.899999999999999</v>
      </c>
      <c r="I133">
        <v>17.3</v>
      </c>
      <c r="J133" t="e">
        <v>#N/A</v>
      </c>
      <c r="K133" t="e">
        <v>#N/A</v>
      </c>
      <c r="L133" s="10">
        <f>(E133*G133/F133)/90000</f>
        <v>2.8661380225613802</v>
      </c>
      <c r="M133">
        <v>6</v>
      </c>
    </row>
    <row r="134" spans="1:13" x14ac:dyDescent="0.2">
      <c r="A134" s="34">
        <v>36438</v>
      </c>
      <c r="B134">
        <v>278</v>
      </c>
      <c r="C134" t="s">
        <v>116</v>
      </c>
      <c r="D134" s="12">
        <v>55</v>
      </c>
      <c r="E134">
        <f>(4488.4+4461.5+2829)</f>
        <v>11778.9</v>
      </c>
      <c r="F134">
        <v>154.4</v>
      </c>
      <c r="G134" s="9">
        <v>3424</v>
      </c>
      <c r="H134">
        <v>19.100000000000001</v>
      </c>
      <c r="I134">
        <v>17</v>
      </c>
      <c r="J134">
        <v>2693.9</v>
      </c>
      <c r="K134" s="2">
        <f>(SUM(H134:I137)+J134)</f>
        <v>2837.8</v>
      </c>
      <c r="L134" s="10">
        <f>(E134*G134/F134)/90000</f>
        <v>2.9023426597582036</v>
      </c>
      <c r="M134">
        <v>5</v>
      </c>
    </row>
    <row r="135" spans="1:13" x14ac:dyDescent="0.2">
      <c r="A135" s="34">
        <v>36438</v>
      </c>
      <c r="B135">
        <v>278</v>
      </c>
      <c r="C135" t="s">
        <v>117</v>
      </c>
      <c r="D135" t="e">
        <v>#N/A</v>
      </c>
      <c r="E135">
        <f>(4488.4+4461.5+2829)</f>
        <v>11778.9</v>
      </c>
      <c r="F135">
        <v>153.1</v>
      </c>
      <c r="G135" s="9">
        <v>3471</v>
      </c>
      <c r="H135">
        <v>19.100000000000001</v>
      </c>
      <c r="I135">
        <v>16.5</v>
      </c>
      <c r="J135" t="e">
        <v>#N/A</v>
      </c>
      <c r="K135" t="e">
        <v>#N/A</v>
      </c>
      <c r="L135" s="10">
        <f>(E135*G135/F135)/90000</f>
        <v>2.9671646636185502</v>
      </c>
      <c r="M135">
        <v>5</v>
      </c>
    </row>
    <row r="136" spans="1:13" x14ac:dyDescent="0.2">
      <c r="A136" s="34">
        <v>36438</v>
      </c>
      <c r="B136">
        <v>278</v>
      </c>
      <c r="C136" t="s">
        <v>118</v>
      </c>
      <c r="D136" t="e">
        <v>#N/A</v>
      </c>
      <c r="E136">
        <f>(4488.4+4461.5+2829)</f>
        <v>11778.9</v>
      </c>
      <c r="F136">
        <v>150.80000000000001</v>
      </c>
      <c r="G136" s="9">
        <v>3260</v>
      </c>
      <c r="H136">
        <v>18.600000000000001</v>
      </c>
      <c r="I136">
        <v>18</v>
      </c>
      <c r="J136" t="e">
        <v>#N/A</v>
      </c>
      <c r="K136" t="e">
        <v>#N/A</v>
      </c>
      <c r="L136" s="10">
        <f>(E136*G136/F136)/90000</f>
        <v>2.8292966401414672</v>
      </c>
      <c r="M136">
        <v>5</v>
      </c>
    </row>
    <row r="137" spans="1:13" x14ac:dyDescent="0.2">
      <c r="A137" s="34">
        <v>36438</v>
      </c>
      <c r="B137">
        <v>278</v>
      </c>
      <c r="C137" t="s">
        <v>119</v>
      </c>
      <c r="D137" t="e">
        <v>#N/A</v>
      </c>
      <c r="E137">
        <f>(4488.4+4461.5+2829)</f>
        <v>11778.9</v>
      </c>
      <c r="F137">
        <v>151.19999999999999</v>
      </c>
      <c r="G137" s="9">
        <v>3206</v>
      </c>
      <c r="H137">
        <v>19.2</v>
      </c>
      <c r="I137">
        <v>16.399999999999999</v>
      </c>
      <c r="J137" t="e">
        <v>#N/A</v>
      </c>
      <c r="K137" t="e">
        <v>#N/A</v>
      </c>
      <c r="L137" s="10">
        <f>(E137*G137/F137)/90000</f>
        <v>2.7750700617283952</v>
      </c>
      <c r="M137">
        <v>5</v>
      </c>
    </row>
  </sheetData>
  <phoneticPr fontId="4" type="noConversion"/>
  <pageMargins left="0.75" right="0.75" top="1" bottom="1" header="0.5" footer="0.5"/>
  <pageSetup orientation="portrait" horizontalDpi="4294967295" verticalDpi="4294967295" r:id="rId1"/>
  <headerFooter alignWithMargins="0">
    <oddHeader>&amp;L&amp;"Arial"&amp;10c:\elys\alf99\psalf99.wb3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2E87E-1150-45C9-9E8A-64B6BD8D375B}">
  <dimension ref="A1:H8"/>
  <sheetViews>
    <sheetView workbookViewId="0">
      <selection activeCell="C6" sqref="C6"/>
    </sheetView>
  </sheetViews>
  <sheetFormatPr defaultColWidth="8.85546875" defaultRowHeight="15" x14ac:dyDescent="0.2"/>
  <cols>
    <col min="1" max="1" width="28.7109375" style="28" customWidth="1"/>
    <col min="2" max="2" width="31.140625" style="28" customWidth="1"/>
    <col min="3" max="3" width="53.85546875" style="23" customWidth="1"/>
    <col min="4" max="4" width="20.42578125" style="23" customWidth="1"/>
    <col min="5" max="5" width="8.85546875" style="23"/>
    <col min="6" max="6" width="13.7109375" style="23" customWidth="1"/>
    <col min="7" max="7" width="12.85546875" style="23" customWidth="1"/>
    <col min="8" max="8" width="22.42578125" style="23" customWidth="1"/>
    <col min="9" max="16384" width="8.85546875" style="23"/>
  </cols>
  <sheetData>
    <row r="1" spans="1:8" ht="45" x14ac:dyDescent="0.2">
      <c r="A1" s="22" t="s">
        <v>74</v>
      </c>
      <c r="B1" s="22" t="s">
        <v>75</v>
      </c>
      <c r="C1" s="22" t="s">
        <v>76</v>
      </c>
      <c r="D1" s="22" t="s">
        <v>77</v>
      </c>
      <c r="E1" s="22" t="s">
        <v>78</v>
      </c>
      <c r="F1" s="22" t="s">
        <v>79</v>
      </c>
      <c r="G1" s="22" t="s">
        <v>80</v>
      </c>
      <c r="H1" s="22" t="s">
        <v>81</v>
      </c>
    </row>
    <row r="2" spans="1:8" x14ac:dyDescent="0.2">
      <c r="A2" s="14" t="s">
        <v>140</v>
      </c>
      <c r="B2" s="24" t="s">
        <v>82</v>
      </c>
      <c r="C2" s="25" t="s">
        <v>83</v>
      </c>
      <c r="D2" s="26" t="s">
        <v>84</v>
      </c>
      <c r="E2" s="15">
        <v>10</v>
      </c>
      <c r="F2" s="15"/>
      <c r="G2" s="15" t="s">
        <v>85</v>
      </c>
      <c r="H2" s="15" t="s">
        <v>86</v>
      </c>
    </row>
    <row r="3" spans="1:8" x14ac:dyDescent="0.2">
      <c r="A3" s="14" t="s">
        <v>140</v>
      </c>
      <c r="B3" s="27" t="s">
        <v>87</v>
      </c>
      <c r="C3" s="25" t="s">
        <v>88</v>
      </c>
      <c r="D3" s="25" t="s">
        <v>89</v>
      </c>
      <c r="E3" s="15">
        <v>3</v>
      </c>
      <c r="F3" s="15" t="s">
        <v>90</v>
      </c>
      <c r="G3" s="15" t="s">
        <v>85</v>
      </c>
      <c r="H3" s="15" t="s">
        <v>86</v>
      </c>
    </row>
    <row r="4" spans="1:8" ht="76.5" x14ac:dyDescent="0.2">
      <c r="A4" s="14" t="s">
        <v>140</v>
      </c>
      <c r="B4" s="27" t="s">
        <v>58</v>
      </c>
      <c r="C4" s="25" t="s">
        <v>122</v>
      </c>
      <c r="D4" s="25" t="s">
        <v>91</v>
      </c>
      <c r="E4" s="15" t="s">
        <v>92</v>
      </c>
      <c r="F4" s="15"/>
      <c r="G4" s="15" t="s">
        <v>85</v>
      </c>
      <c r="H4" s="15" t="s">
        <v>86</v>
      </c>
    </row>
    <row r="5" spans="1:8" x14ac:dyDescent="0.2">
      <c r="A5" s="14" t="s">
        <v>140</v>
      </c>
      <c r="B5" s="43" t="s">
        <v>144</v>
      </c>
      <c r="C5" s="25" t="s">
        <v>170</v>
      </c>
      <c r="D5" s="25" t="s">
        <v>93</v>
      </c>
      <c r="E5" s="15" t="s">
        <v>92</v>
      </c>
      <c r="F5" s="15"/>
      <c r="G5" s="15" t="s">
        <v>85</v>
      </c>
      <c r="H5" s="15" t="s">
        <v>86</v>
      </c>
    </row>
    <row r="6" spans="1:8" x14ac:dyDescent="0.2">
      <c r="A6" s="14"/>
      <c r="B6" s="27"/>
      <c r="C6" s="25"/>
      <c r="D6" s="25"/>
      <c r="E6" s="15"/>
      <c r="F6" s="15"/>
      <c r="G6" s="15"/>
      <c r="H6" s="15"/>
    </row>
    <row r="7" spans="1:8" x14ac:dyDescent="0.2">
      <c r="A7" s="14"/>
      <c r="B7" s="27"/>
      <c r="C7" s="25"/>
      <c r="D7" s="25"/>
      <c r="E7" s="15"/>
      <c r="F7" s="15"/>
      <c r="G7" s="15"/>
      <c r="H7" s="15"/>
    </row>
    <row r="8" spans="1:8" x14ac:dyDescent="0.2">
      <c r="A8" s="14"/>
      <c r="B8" s="27"/>
      <c r="C8" s="25"/>
      <c r="D8" s="25"/>
      <c r="E8" s="15"/>
      <c r="F8" s="15"/>
      <c r="G8" s="15"/>
      <c r="H8" s="1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8316E-6137-4E6D-83B6-9CB26E9E6F4C}">
  <dimension ref="A1:D19"/>
  <sheetViews>
    <sheetView workbookViewId="0">
      <selection activeCell="D2" sqref="D2"/>
    </sheetView>
  </sheetViews>
  <sheetFormatPr defaultRowHeight="12.75" x14ac:dyDescent="0.2"/>
  <cols>
    <col min="1" max="1" width="12.42578125" customWidth="1"/>
    <col min="2" max="2" width="12" customWidth="1"/>
    <col min="3" max="3" width="16.28515625" customWidth="1"/>
    <col min="4" max="4" width="15.28515625" customWidth="1"/>
  </cols>
  <sheetData>
    <row r="1" spans="1:4" s="29" customFormat="1" ht="31.5" x14ac:dyDescent="0.25">
      <c r="A1" s="39" t="s">
        <v>82</v>
      </c>
      <c r="B1" s="29" t="s">
        <v>87</v>
      </c>
      <c r="C1" s="40" t="s">
        <v>58</v>
      </c>
      <c r="D1" s="42" t="s">
        <v>144</v>
      </c>
    </row>
    <row r="2" spans="1:4" x14ac:dyDescent="0.2">
      <c r="A2" s="34">
        <v>36384</v>
      </c>
      <c r="B2">
        <v>224</v>
      </c>
      <c r="C2" t="s">
        <v>14</v>
      </c>
      <c r="D2">
        <f>(88+90+90+84+88)/5</f>
        <v>88</v>
      </c>
    </row>
    <row r="3" spans="1:4" x14ac:dyDescent="0.2">
      <c r="A3" s="34">
        <v>36384</v>
      </c>
      <c r="B3">
        <v>224</v>
      </c>
      <c r="C3" t="s">
        <v>15</v>
      </c>
      <c r="D3">
        <f>(94+82+82+98+86)/5</f>
        <v>88.4</v>
      </c>
    </row>
    <row r="4" spans="1:4" x14ac:dyDescent="0.2">
      <c r="A4" s="34">
        <v>36384</v>
      </c>
      <c r="B4">
        <v>224</v>
      </c>
      <c r="C4" t="s">
        <v>16</v>
      </c>
      <c r="D4">
        <f>(90+105+98+95+97)/5</f>
        <v>97</v>
      </c>
    </row>
    <row r="5" spans="1:4" x14ac:dyDescent="0.2">
      <c r="A5" s="34">
        <v>36384</v>
      </c>
      <c r="B5">
        <v>224</v>
      </c>
      <c r="C5" s="11" t="s">
        <v>17</v>
      </c>
      <c r="D5" s="11">
        <f>(73+73+78+79+73)/5</f>
        <v>75.2</v>
      </c>
    </row>
    <row r="6" spans="1:4" ht="15.75" x14ac:dyDescent="0.25">
      <c r="A6" s="34">
        <v>36384</v>
      </c>
      <c r="B6">
        <v>224</v>
      </c>
      <c r="C6" s="36" t="s">
        <v>106</v>
      </c>
      <c r="D6" s="1">
        <f>AVERAGE(D2:D5)</f>
        <v>87.149999999999991</v>
      </c>
    </row>
    <row r="7" spans="1:4" x14ac:dyDescent="0.2">
      <c r="A7" s="34">
        <v>36384</v>
      </c>
      <c r="B7">
        <v>224</v>
      </c>
      <c r="C7" t="s">
        <v>8</v>
      </c>
      <c r="D7">
        <f>(81+73+87+85+96)/5</f>
        <v>84.4</v>
      </c>
    </row>
    <row r="8" spans="1:4" x14ac:dyDescent="0.2">
      <c r="A8" s="34">
        <v>36384</v>
      </c>
      <c r="B8">
        <v>224</v>
      </c>
      <c r="C8" t="s">
        <v>9</v>
      </c>
      <c r="D8">
        <f>(90+87+83+82+91)/5</f>
        <v>86.6</v>
      </c>
    </row>
    <row r="9" spans="1:4" x14ac:dyDescent="0.2">
      <c r="A9" s="34">
        <v>36384</v>
      </c>
      <c r="B9">
        <v>224</v>
      </c>
      <c r="C9" t="s">
        <v>10</v>
      </c>
      <c r="D9">
        <f>(62+93+97+78+85)/5</f>
        <v>83</v>
      </c>
    </row>
    <row r="10" spans="1:4" x14ac:dyDescent="0.2">
      <c r="A10" s="34">
        <v>36384</v>
      </c>
      <c r="B10">
        <v>224</v>
      </c>
      <c r="C10" s="11" t="s">
        <v>11</v>
      </c>
      <c r="D10" s="11">
        <f>(82+82+75+78+102)/5</f>
        <v>83.8</v>
      </c>
    </row>
    <row r="11" spans="1:4" ht="15.75" x14ac:dyDescent="0.25">
      <c r="A11" s="34">
        <v>36384</v>
      </c>
      <c r="B11">
        <v>224</v>
      </c>
      <c r="C11" s="36" t="s">
        <v>107</v>
      </c>
      <c r="D11" s="1">
        <f>AVERAGE(D7:D10)</f>
        <v>84.45</v>
      </c>
    </row>
    <row r="12" spans="1:4" x14ac:dyDescent="0.2">
      <c r="A12" s="34">
        <v>36384</v>
      </c>
      <c r="B12">
        <v>224</v>
      </c>
      <c r="C12" s="36" t="s">
        <v>108</v>
      </c>
      <c r="D12">
        <f>(83+97+75+92+113)/5</f>
        <v>92</v>
      </c>
    </row>
    <row r="13" spans="1:4" x14ac:dyDescent="0.2">
      <c r="A13" s="34">
        <v>36384</v>
      </c>
      <c r="B13">
        <v>224</v>
      </c>
      <c r="C13" s="36" t="s">
        <v>109</v>
      </c>
      <c r="D13">
        <f>(88+77+90+82+100)/5</f>
        <v>87.4</v>
      </c>
    </row>
    <row r="14" spans="1:4" x14ac:dyDescent="0.2">
      <c r="A14" s="34">
        <v>36437</v>
      </c>
      <c r="B14">
        <v>277</v>
      </c>
      <c r="C14" t="s">
        <v>8</v>
      </c>
      <c r="D14">
        <f>(81+70+74+88+62)/5</f>
        <v>75</v>
      </c>
    </row>
    <row r="15" spans="1:4" x14ac:dyDescent="0.2">
      <c r="A15" s="34">
        <v>36437</v>
      </c>
      <c r="B15">
        <v>277</v>
      </c>
      <c r="C15" t="s">
        <v>9</v>
      </c>
      <c r="D15">
        <f>(77+71+81+72+70)/5</f>
        <v>74.2</v>
      </c>
    </row>
    <row r="16" spans="1:4" x14ac:dyDescent="0.2">
      <c r="A16" s="34">
        <v>36437</v>
      </c>
      <c r="B16">
        <v>277</v>
      </c>
      <c r="C16" t="s">
        <v>10</v>
      </c>
      <c r="D16">
        <f>(67+68+76+72+71)/5</f>
        <v>70.8</v>
      </c>
    </row>
    <row r="17" spans="1:4" x14ac:dyDescent="0.2">
      <c r="A17" s="34">
        <v>36437</v>
      </c>
      <c r="B17">
        <v>277</v>
      </c>
      <c r="C17" s="11" t="s">
        <v>11</v>
      </c>
      <c r="D17" s="11">
        <f>(80+86+73+61+77)/5</f>
        <v>75.400000000000006</v>
      </c>
    </row>
    <row r="18" spans="1:4" ht="15.75" x14ac:dyDescent="0.25">
      <c r="A18" s="34">
        <v>36437</v>
      </c>
      <c r="B18">
        <v>277</v>
      </c>
      <c r="C18" s="36" t="s">
        <v>107</v>
      </c>
      <c r="D18" s="1">
        <f>AVERAGE(D14:D17)</f>
        <v>73.849999999999994</v>
      </c>
    </row>
    <row r="19" spans="1:4" x14ac:dyDescent="0.2">
      <c r="A19" s="34">
        <v>36437</v>
      </c>
      <c r="B19">
        <v>277</v>
      </c>
      <c r="C19" t="s">
        <v>109</v>
      </c>
      <c r="D19">
        <f>(71+76+63+63+59)/5</f>
        <v>66.400000000000006</v>
      </c>
    </row>
  </sheetData>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41F04-AAA6-40DA-A603-D2FD97076057}">
  <dimension ref="A1:H10"/>
  <sheetViews>
    <sheetView workbookViewId="0">
      <selection activeCell="C6" sqref="C6"/>
    </sheetView>
  </sheetViews>
  <sheetFormatPr defaultRowHeight="12.75" x14ac:dyDescent="0.2"/>
  <cols>
    <col min="1" max="1" width="16.42578125" style="44" customWidth="1"/>
    <col min="2" max="2" width="16.7109375" style="44" customWidth="1"/>
    <col min="3" max="3" width="82.85546875" style="44" customWidth="1"/>
    <col min="4" max="4" width="18.7109375" style="44" customWidth="1"/>
    <col min="5" max="6" width="12.7109375" style="44" customWidth="1"/>
    <col min="7" max="7" width="11.42578125" style="44" customWidth="1"/>
    <col min="8" max="8" width="12" style="44" customWidth="1"/>
    <col min="9" max="16384" width="9.140625" style="44"/>
  </cols>
  <sheetData>
    <row r="1" spans="1:8" ht="45" x14ac:dyDescent="0.2">
      <c r="A1" s="22" t="s">
        <v>74</v>
      </c>
      <c r="B1" s="22" t="s">
        <v>75</v>
      </c>
      <c r="C1" s="22" t="s">
        <v>76</v>
      </c>
      <c r="D1" s="22" t="s">
        <v>77</v>
      </c>
      <c r="E1" s="22" t="s">
        <v>78</v>
      </c>
      <c r="F1" s="22" t="s">
        <v>79</v>
      </c>
      <c r="G1" s="22" t="s">
        <v>80</v>
      </c>
      <c r="H1" s="22" t="s">
        <v>81</v>
      </c>
    </row>
    <row r="2" spans="1:8" ht="15" x14ac:dyDescent="0.2">
      <c r="A2" s="14" t="s">
        <v>152</v>
      </c>
      <c r="B2" s="29" t="s">
        <v>82</v>
      </c>
      <c r="C2" s="27" t="s">
        <v>83</v>
      </c>
      <c r="D2" s="45" t="s">
        <v>84</v>
      </c>
      <c r="E2" s="14">
        <v>10</v>
      </c>
      <c r="F2" s="14"/>
      <c r="G2" s="14" t="s">
        <v>85</v>
      </c>
      <c r="H2" s="14" t="s">
        <v>86</v>
      </c>
    </row>
    <row r="3" spans="1:8" x14ac:dyDescent="0.2">
      <c r="A3" s="14" t="s">
        <v>152</v>
      </c>
      <c r="B3" s="29" t="s">
        <v>145</v>
      </c>
      <c r="C3" s="27" t="s">
        <v>145</v>
      </c>
      <c r="D3" s="27" t="s">
        <v>146</v>
      </c>
      <c r="E3" s="14">
        <v>4</v>
      </c>
      <c r="F3" s="14"/>
      <c r="G3" s="14" t="s">
        <v>85</v>
      </c>
      <c r="H3" s="14" t="s">
        <v>86</v>
      </c>
    </row>
    <row r="4" spans="1:8" x14ac:dyDescent="0.2">
      <c r="A4" s="14" t="s">
        <v>152</v>
      </c>
      <c r="B4" s="29" t="s">
        <v>87</v>
      </c>
      <c r="C4" s="27" t="s">
        <v>88</v>
      </c>
      <c r="D4" s="27" t="s">
        <v>89</v>
      </c>
      <c r="E4" s="14">
        <v>3</v>
      </c>
      <c r="F4" s="14" t="s">
        <v>90</v>
      </c>
      <c r="G4" s="14" t="s">
        <v>85</v>
      </c>
      <c r="H4" s="14" t="s">
        <v>86</v>
      </c>
    </row>
    <row r="5" spans="1:8" ht="25.5" x14ac:dyDescent="0.2">
      <c r="A5" s="14" t="s">
        <v>152</v>
      </c>
      <c r="B5" s="29" t="s">
        <v>127</v>
      </c>
      <c r="C5" s="27" t="s">
        <v>169</v>
      </c>
      <c r="D5" s="27" t="s">
        <v>93</v>
      </c>
      <c r="E5" s="14">
        <v>2</v>
      </c>
      <c r="F5" s="14" t="s">
        <v>147</v>
      </c>
      <c r="G5" s="14" t="s">
        <v>85</v>
      </c>
      <c r="H5" s="14" t="s">
        <v>86</v>
      </c>
    </row>
    <row r="6" spans="1:8" ht="25.5" x14ac:dyDescent="0.2">
      <c r="A6" s="14" t="s">
        <v>152</v>
      </c>
      <c r="B6" s="48" t="s">
        <v>155</v>
      </c>
      <c r="C6" s="27" t="s">
        <v>148</v>
      </c>
      <c r="D6" s="27" t="s">
        <v>93</v>
      </c>
      <c r="E6" s="14"/>
      <c r="F6" s="14"/>
      <c r="G6" s="14" t="s">
        <v>85</v>
      </c>
      <c r="H6" s="14" t="s">
        <v>86</v>
      </c>
    </row>
    <row r="7" spans="1:8" ht="25.5" x14ac:dyDescent="0.2">
      <c r="A7" s="14" t="s">
        <v>152</v>
      </c>
      <c r="B7" s="48" t="s">
        <v>156</v>
      </c>
      <c r="C7" s="27" t="s">
        <v>149</v>
      </c>
      <c r="D7" s="27" t="s">
        <v>93</v>
      </c>
      <c r="E7" s="14"/>
      <c r="F7" s="14" t="s">
        <v>97</v>
      </c>
      <c r="G7" s="14" t="s">
        <v>85</v>
      </c>
      <c r="H7" s="14" t="s">
        <v>86</v>
      </c>
    </row>
    <row r="8" spans="1:8" x14ac:dyDescent="0.2">
      <c r="A8" s="14" t="s">
        <v>152</v>
      </c>
      <c r="B8" s="48" t="s">
        <v>154</v>
      </c>
      <c r="C8" s="27" t="s">
        <v>150</v>
      </c>
      <c r="D8" s="27" t="s">
        <v>93</v>
      </c>
      <c r="E8" s="14"/>
      <c r="F8" s="14"/>
      <c r="G8" s="14" t="s">
        <v>85</v>
      </c>
      <c r="H8" s="14" t="s">
        <v>86</v>
      </c>
    </row>
    <row r="9" spans="1:8" ht="25.5" x14ac:dyDescent="0.2">
      <c r="A9" s="14" t="s">
        <v>152</v>
      </c>
      <c r="B9" s="29" t="s">
        <v>134</v>
      </c>
      <c r="C9" s="27" t="s">
        <v>96</v>
      </c>
      <c r="D9" s="27" t="s">
        <v>93</v>
      </c>
      <c r="E9" s="14"/>
      <c r="F9" s="14" t="s">
        <v>97</v>
      </c>
      <c r="G9" s="14" t="s">
        <v>85</v>
      </c>
      <c r="H9" s="14" t="s">
        <v>86</v>
      </c>
    </row>
    <row r="10" spans="1:8" x14ac:dyDescent="0.2">
      <c r="A10" s="14" t="s">
        <v>152</v>
      </c>
      <c r="B10" s="47" t="s">
        <v>153</v>
      </c>
      <c r="C10" s="27" t="s">
        <v>151</v>
      </c>
      <c r="D10" s="27" t="s">
        <v>93</v>
      </c>
      <c r="E10" s="14"/>
      <c r="F10" s="14"/>
      <c r="G10" s="14" t="s">
        <v>85</v>
      </c>
      <c r="H10" s="14" t="s">
        <v>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7C29-6DAC-4E95-B23E-7407A869EE62}">
  <dimension ref="A1:K45"/>
  <sheetViews>
    <sheetView workbookViewId="0"/>
  </sheetViews>
  <sheetFormatPr defaultRowHeight="12.75" x14ac:dyDescent="0.2"/>
  <cols>
    <col min="1" max="1" width="13.42578125" customWidth="1"/>
    <col min="3" max="3" width="13" customWidth="1"/>
    <col min="5" max="5" width="15.7109375" style="9" customWidth="1"/>
    <col min="6" max="6" width="15.42578125" customWidth="1"/>
    <col min="7" max="7" width="12.7109375" style="9" customWidth="1"/>
    <col min="8" max="8" width="13.5703125" customWidth="1"/>
    <col min="9" max="9" width="17" style="9" customWidth="1"/>
  </cols>
  <sheetData>
    <row r="1" spans="1:10" s="29" customFormat="1" ht="25.5" x14ac:dyDescent="0.2">
      <c r="A1" s="29" t="s">
        <v>82</v>
      </c>
      <c r="B1" s="29" t="s">
        <v>145</v>
      </c>
      <c r="C1" s="29" t="s">
        <v>87</v>
      </c>
      <c r="D1" s="29" t="s">
        <v>127</v>
      </c>
      <c r="E1" s="47" t="s">
        <v>155</v>
      </c>
      <c r="F1" s="48" t="s">
        <v>156</v>
      </c>
      <c r="G1" s="47" t="s">
        <v>154</v>
      </c>
      <c r="H1" s="29" t="s">
        <v>134</v>
      </c>
      <c r="I1" s="47" t="s">
        <v>153</v>
      </c>
    </row>
    <row r="2" spans="1:10" x14ac:dyDescent="0.2">
      <c r="A2" s="34">
        <v>36316</v>
      </c>
      <c r="B2">
        <v>1999</v>
      </c>
      <c r="C2">
        <v>156</v>
      </c>
      <c r="D2">
        <v>1</v>
      </c>
      <c r="E2" s="9">
        <v>4103.0768782615178</v>
      </c>
      <c r="F2">
        <v>0.159</v>
      </c>
      <c r="G2" s="9">
        <v>3450.6876546179365</v>
      </c>
      <c r="H2">
        <v>9.4405594405594401E-2</v>
      </c>
      <c r="I2" s="9">
        <v>4105.5094667848725</v>
      </c>
      <c r="J2" s="10"/>
    </row>
    <row r="3" spans="1:10" x14ac:dyDescent="0.2">
      <c r="A3" s="34">
        <v>36316</v>
      </c>
      <c r="B3">
        <v>1999</v>
      </c>
      <c r="C3">
        <v>156</v>
      </c>
      <c r="D3">
        <v>2</v>
      </c>
      <c r="E3" s="9">
        <v>4480.8432777106891</v>
      </c>
      <c r="F3">
        <v>0.159</v>
      </c>
      <c r="G3" s="9">
        <v>3768.3891965546895</v>
      </c>
      <c r="H3">
        <v>0.10489510489510488</v>
      </c>
      <c r="I3" s="9">
        <v>4035.1498491184916</v>
      </c>
      <c r="J3" s="10"/>
    </row>
    <row r="4" spans="1:10" x14ac:dyDescent="0.2">
      <c r="A4" s="34">
        <v>36316</v>
      </c>
      <c r="B4">
        <v>1999</v>
      </c>
      <c r="C4">
        <v>156</v>
      </c>
      <c r="D4">
        <v>3</v>
      </c>
      <c r="E4" s="9">
        <v>2814.652362496553</v>
      </c>
      <c r="F4">
        <v>0.159</v>
      </c>
      <c r="G4" s="9">
        <v>2367.1226368596012</v>
      </c>
      <c r="H4">
        <v>7.6923076923076913E-2</v>
      </c>
      <c r="I4" s="9">
        <v>3456.3940571629296</v>
      </c>
      <c r="J4" s="10"/>
    </row>
    <row r="5" spans="1:10" x14ac:dyDescent="0.2">
      <c r="A5" s="34">
        <v>36316</v>
      </c>
      <c r="B5">
        <v>1999</v>
      </c>
      <c r="C5">
        <v>156</v>
      </c>
      <c r="D5">
        <v>4</v>
      </c>
      <c r="E5" s="9">
        <v>5830.2610989363593</v>
      </c>
      <c r="F5">
        <v>0.214</v>
      </c>
      <c r="G5" s="9">
        <v>4582.5852237639783</v>
      </c>
      <c r="H5">
        <v>0.10489510489510488</v>
      </c>
      <c r="I5" s="9">
        <v>4906.9820312482379</v>
      </c>
      <c r="J5" s="10"/>
    </row>
    <row r="6" spans="1:10" x14ac:dyDescent="0.2">
      <c r="A6" s="34">
        <v>36316</v>
      </c>
      <c r="B6">
        <v>1999</v>
      </c>
      <c r="C6">
        <v>156</v>
      </c>
      <c r="D6">
        <v>5</v>
      </c>
      <c r="E6" s="9">
        <v>4298.236809369907</v>
      </c>
      <c r="F6">
        <v>0.214</v>
      </c>
      <c r="G6" s="9">
        <v>3378.4141321647467</v>
      </c>
      <c r="H6">
        <v>0.10489510489510488</v>
      </c>
      <c r="I6" s="9">
        <v>3617.5688244006233</v>
      </c>
      <c r="J6" s="10"/>
    </row>
    <row r="7" spans="1:10" x14ac:dyDescent="0.2">
      <c r="A7" s="34">
        <v>36316</v>
      </c>
      <c r="B7">
        <v>1999</v>
      </c>
      <c r="C7">
        <v>156</v>
      </c>
      <c r="D7">
        <v>6</v>
      </c>
      <c r="E7" s="9">
        <v>4663.8329068662188</v>
      </c>
      <c r="F7">
        <v>0.214</v>
      </c>
      <c r="G7" s="9">
        <v>3665.7726647968479</v>
      </c>
      <c r="H7">
        <v>0.10489510489510488</v>
      </c>
      <c r="I7" s="9">
        <v>3925.2691916167955</v>
      </c>
      <c r="J7" s="10"/>
    </row>
    <row r="8" spans="1:10" x14ac:dyDescent="0.2">
      <c r="A8" s="34">
        <v>36316</v>
      </c>
      <c r="B8">
        <v>1999</v>
      </c>
      <c r="C8">
        <v>156</v>
      </c>
      <c r="D8">
        <v>7</v>
      </c>
      <c r="E8" s="9">
        <v>4302.7822793749256</v>
      </c>
      <c r="F8">
        <v>0.159</v>
      </c>
      <c r="G8" s="9">
        <v>3618.6398969543125</v>
      </c>
      <c r="H8">
        <v>0.10489510489510488</v>
      </c>
      <c r="I8" s="9">
        <v>3874.7999403987351</v>
      </c>
      <c r="J8" s="10"/>
    </row>
    <row r="9" spans="1:10" x14ac:dyDescent="0.2">
      <c r="A9" s="34">
        <v>36316</v>
      </c>
      <c r="B9">
        <v>1999</v>
      </c>
      <c r="C9">
        <v>156</v>
      </c>
      <c r="D9">
        <v>8</v>
      </c>
      <c r="E9" s="9">
        <v>2641.3937289261121</v>
      </c>
      <c r="F9">
        <v>0.159</v>
      </c>
      <c r="G9" s="9">
        <v>2221.4121260268603</v>
      </c>
      <c r="H9">
        <v>7.3426573426573438E-2</v>
      </c>
      <c r="I9" s="9">
        <v>3398.0910818274838</v>
      </c>
      <c r="J9" s="10"/>
    </row>
    <row r="10" spans="1:10" x14ac:dyDescent="0.2">
      <c r="A10" s="34">
        <v>36316</v>
      </c>
      <c r="B10">
        <v>1999</v>
      </c>
      <c r="C10">
        <v>156</v>
      </c>
      <c r="D10">
        <v>9</v>
      </c>
      <c r="E10" s="9">
        <v>4225.4772425350693</v>
      </c>
      <c r="F10">
        <v>0.159</v>
      </c>
      <c r="G10" s="9">
        <v>3553.6263609719931</v>
      </c>
      <c r="H10">
        <v>0.10489510489510488</v>
      </c>
      <c r="I10" s="9">
        <v>3805.1841586345895</v>
      </c>
      <c r="J10" s="10"/>
    </row>
    <row r="11" spans="1:10" x14ac:dyDescent="0.2">
      <c r="A11" s="34">
        <v>36316</v>
      </c>
      <c r="B11">
        <v>1999</v>
      </c>
      <c r="C11">
        <v>156</v>
      </c>
      <c r="D11">
        <v>10</v>
      </c>
      <c r="E11" s="9">
        <v>4524.4613300916262</v>
      </c>
      <c r="F11">
        <v>0.159</v>
      </c>
      <c r="G11" s="9">
        <v>3805.0719786070576</v>
      </c>
      <c r="H11">
        <v>9.4405594405594401E-2</v>
      </c>
      <c r="I11" s="9">
        <v>4527.1437445411957</v>
      </c>
      <c r="J11" s="10"/>
    </row>
    <row r="12" spans="1:10" x14ac:dyDescent="0.2">
      <c r="A12" s="34">
        <v>36316</v>
      </c>
      <c r="B12">
        <v>1999</v>
      </c>
      <c r="C12">
        <v>156</v>
      </c>
      <c r="D12">
        <v>11</v>
      </c>
      <c r="E12" s="9">
        <v>1563.0665451986699</v>
      </c>
      <c r="F12">
        <v>0.159</v>
      </c>
      <c r="G12" s="9">
        <v>1314.5389645120813</v>
      </c>
      <c r="H12">
        <v>3.1468531468531472E-2</v>
      </c>
      <c r="I12" s="9">
        <v>4691.9797183377441</v>
      </c>
      <c r="J12" s="10"/>
    </row>
    <row r="13" spans="1:10" x14ac:dyDescent="0.2">
      <c r="A13" s="34">
        <v>36350</v>
      </c>
      <c r="B13">
        <v>1999</v>
      </c>
      <c r="C13">
        <v>190</v>
      </c>
      <c r="D13">
        <v>1</v>
      </c>
      <c r="E13" s="9">
        <v>4151.5444050577362</v>
      </c>
      <c r="F13">
        <v>0.13400000000000001</v>
      </c>
      <c r="G13" s="9">
        <v>3595.2374547799996</v>
      </c>
      <c r="H13">
        <v>9.4405594405594401E-2</v>
      </c>
      <c r="I13" s="9">
        <v>4277.4898464616645</v>
      </c>
      <c r="J13" s="10"/>
    </row>
    <row r="14" spans="1:10" x14ac:dyDescent="0.2">
      <c r="A14" s="34">
        <v>36350</v>
      </c>
      <c r="B14">
        <v>1999</v>
      </c>
      <c r="C14">
        <v>190</v>
      </c>
      <c r="D14">
        <v>2</v>
      </c>
      <c r="E14" s="9">
        <v>4312.2772599636883</v>
      </c>
      <c r="F14">
        <v>0.13400000000000001</v>
      </c>
      <c r="G14" s="9">
        <v>3734.432107128554</v>
      </c>
      <c r="H14">
        <v>0.10489510489510488</v>
      </c>
      <c r="I14" s="9">
        <v>3998.788969939757</v>
      </c>
      <c r="J14" s="10"/>
    </row>
    <row r="15" spans="1:10" x14ac:dyDescent="0.2">
      <c r="A15" s="34">
        <v>36350</v>
      </c>
      <c r="B15">
        <v>1999</v>
      </c>
      <c r="C15">
        <v>190</v>
      </c>
      <c r="D15">
        <v>3</v>
      </c>
      <c r="E15" s="9">
        <v>2670.1923878760767</v>
      </c>
      <c r="F15">
        <v>0.13400000000000001</v>
      </c>
      <c r="G15" s="9">
        <v>2312.3866079006825</v>
      </c>
      <c r="H15">
        <v>7.6923076923076913E-2</v>
      </c>
      <c r="I15" s="9">
        <v>3376.470320952415</v>
      </c>
      <c r="J15" s="10"/>
    </row>
    <row r="16" spans="1:10" x14ac:dyDescent="0.2">
      <c r="A16" s="34">
        <v>36350</v>
      </c>
      <c r="B16">
        <v>1999</v>
      </c>
      <c r="C16">
        <v>190</v>
      </c>
      <c r="D16">
        <v>4</v>
      </c>
      <c r="E16" s="9">
        <v>4962.7781433291002</v>
      </c>
      <c r="F16">
        <v>0.18</v>
      </c>
      <c r="G16" s="9">
        <v>4069.4780775298623</v>
      </c>
      <c r="H16">
        <v>0.10489510489510488</v>
      </c>
      <c r="I16" s="9">
        <v>4357.5525228521392</v>
      </c>
      <c r="J16" s="10"/>
    </row>
    <row r="17" spans="1:10" x14ac:dyDescent="0.2">
      <c r="A17" s="34">
        <v>36350</v>
      </c>
      <c r="B17">
        <v>1999</v>
      </c>
      <c r="C17">
        <v>190</v>
      </c>
      <c r="D17">
        <v>5</v>
      </c>
      <c r="E17" s="9">
        <v>4467.2665985532813</v>
      </c>
      <c r="F17">
        <v>0.18</v>
      </c>
      <c r="G17" s="9">
        <v>3663.1586108136908</v>
      </c>
      <c r="H17">
        <v>0.10489510489510488</v>
      </c>
      <c r="I17" s="9">
        <v>3922.4700912623607</v>
      </c>
      <c r="J17" s="10"/>
    </row>
    <row r="18" spans="1:10" x14ac:dyDescent="0.2">
      <c r="A18" s="34">
        <v>36350</v>
      </c>
      <c r="B18">
        <v>1999</v>
      </c>
      <c r="C18">
        <v>190</v>
      </c>
      <c r="D18">
        <v>6</v>
      </c>
      <c r="E18" s="9">
        <v>4276.6021193656816</v>
      </c>
      <c r="F18">
        <v>0.18</v>
      </c>
      <c r="G18" s="9">
        <v>3506.8137378798588</v>
      </c>
      <c r="H18">
        <v>0.10489510489510488</v>
      </c>
      <c r="I18" s="9">
        <v>3755.0577149063865</v>
      </c>
      <c r="J18" s="10"/>
    </row>
    <row r="19" spans="1:10" x14ac:dyDescent="0.2">
      <c r="A19" s="34">
        <v>36350</v>
      </c>
      <c r="B19">
        <v>1999</v>
      </c>
      <c r="C19">
        <v>190</v>
      </c>
      <c r="D19">
        <v>7</v>
      </c>
      <c r="E19" s="9">
        <v>3749.5345294370391</v>
      </c>
      <c r="F19">
        <v>0.13400000000000001</v>
      </c>
      <c r="G19" s="9">
        <v>3247.0969024924757</v>
      </c>
      <c r="H19">
        <v>0.10489510489510488</v>
      </c>
      <c r="I19" s="9">
        <v>3476.9557741394724</v>
      </c>
      <c r="J19" s="10"/>
    </row>
    <row r="20" spans="1:10" x14ac:dyDescent="0.2">
      <c r="A20" s="34">
        <v>36350</v>
      </c>
      <c r="B20">
        <v>1999</v>
      </c>
      <c r="C20">
        <v>190</v>
      </c>
      <c r="D20">
        <v>8</v>
      </c>
      <c r="E20" s="9">
        <v>2878.7847607577269</v>
      </c>
      <c r="F20">
        <v>0.13400000000000001</v>
      </c>
      <c r="G20" s="9">
        <v>2493.0276028161916</v>
      </c>
      <c r="H20">
        <v>7.3426573426573438E-2</v>
      </c>
      <c r="I20" s="9">
        <v>3813.5809040672434</v>
      </c>
      <c r="J20" s="10"/>
    </row>
    <row r="21" spans="1:10" x14ac:dyDescent="0.2">
      <c r="A21" s="34">
        <v>36350</v>
      </c>
      <c r="B21">
        <v>1999</v>
      </c>
      <c r="C21">
        <v>190</v>
      </c>
      <c r="D21">
        <v>9</v>
      </c>
      <c r="E21" s="9">
        <v>3980.6959395348058</v>
      </c>
      <c r="F21">
        <v>0.13400000000000001</v>
      </c>
      <c r="G21" s="9">
        <v>3447.2826836371419</v>
      </c>
      <c r="H21">
        <v>0.10489510489510488</v>
      </c>
      <c r="I21" s="9">
        <v>3691.3125144995424</v>
      </c>
      <c r="J21" s="10"/>
    </row>
    <row r="22" spans="1:10" x14ac:dyDescent="0.2">
      <c r="A22" s="34">
        <v>36350</v>
      </c>
      <c r="B22">
        <v>1999</v>
      </c>
      <c r="C22">
        <v>190</v>
      </c>
      <c r="D22">
        <v>10</v>
      </c>
      <c r="E22" s="9">
        <v>3792.3542134339464</v>
      </c>
      <c r="F22">
        <v>0.13400000000000001</v>
      </c>
      <c r="G22" s="9">
        <v>3284.1787488337977</v>
      </c>
      <c r="H22">
        <v>9.4405594405594401E-2</v>
      </c>
      <c r="I22" s="9">
        <v>3907.4028986386861</v>
      </c>
      <c r="J22" s="10"/>
    </row>
    <row r="23" spans="1:10" x14ac:dyDescent="0.2">
      <c r="A23" s="34">
        <v>36350</v>
      </c>
      <c r="B23">
        <v>1999</v>
      </c>
      <c r="C23">
        <v>190</v>
      </c>
      <c r="D23">
        <v>11</v>
      </c>
      <c r="E23" s="9">
        <v>1317.7743611120759</v>
      </c>
      <c r="F23">
        <v>0.13400000000000001</v>
      </c>
      <c r="G23" s="9">
        <v>1141.1925967230577</v>
      </c>
      <c r="H23">
        <v>3.1468531468531472E-2</v>
      </c>
      <c r="I23" s="9">
        <v>4073.2550826511169</v>
      </c>
      <c r="J23" s="10"/>
    </row>
    <row r="24" spans="1:10" x14ac:dyDescent="0.2">
      <c r="A24" s="34">
        <v>36388</v>
      </c>
      <c r="B24">
        <v>1999</v>
      </c>
      <c r="C24">
        <v>228</v>
      </c>
      <c r="D24">
        <v>1</v>
      </c>
      <c r="E24" s="9">
        <v>4200.2090957566043</v>
      </c>
      <c r="F24">
        <v>0.13200000000000001</v>
      </c>
      <c r="G24" s="9">
        <v>3645.7814951167325</v>
      </c>
      <c r="H24">
        <v>9.4405594405594401E-2</v>
      </c>
      <c r="I24" s="9">
        <v>4337.6254069243196</v>
      </c>
      <c r="J24" s="10"/>
    </row>
    <row r="25" spans="1:10" x14ac:dyDescent="0.2">
      <c r="A25" s="34">
        <v>36388</v>
      </c>
      <c r="B25">
        <v>1999</v>
      </c>
      <c r="C25">
        <v>228</v>
      </c>
      <c r="D25">
        <v>2</v>
      </c>
      <c r="E25" s="9">
        <v>4496.841291906163</v>
      </c>
      <c r="F25">
        <v>0.13200000000000001</v>
      </c>
      <c r="G25" s="9">
        <v>3903.2582413745495</v>
      </c>
      <c r="H25">
        <v>0.10489510489510488</v>
      </c>
      <c r="I25" s="9">
        <v>4179.5661441108377</v>
      </c>
      <c r="J25" s="10"/>
    </row>
    <row r="26" spans="1:10" x14ac:dyDescent="0.2">
      <c r="A26" s="34">
        <v>36388</v>
      </c>
      <c r="B26">
        <v>1999</v>
      </c>
      <c r="C26">
        <v>228</v>
      </c>
      <c r="D26">
        <v>3</v>
      </c>
      <c r="E26" s="9">
        <v>2902.8407858000196</v>
      </c>
      <c r="F26">
        <v>0.13200000000000001</v>
      </c>
      <c r="G26" s="9">
        <v>2519.6658020744171</v>
      </c>
      <c r="H26">
        <v>7.6923076923076913E-2</v>
      </c>
      <c r="I26" s="9">
        <v>3679.1325336149989</v>
      </c>
      <c r="J26" s="10"/>
    </row>
    <row r="27" spans="1:10" x14ac:dyDescent="0.2">
      <c r="A27" s="34">
        <v>36388</v>
      </c>
      <c r="B27">
        <v>1999</v>
      </c>
      <c r="C27">
        <v>228</v>
      </c>
      <c r="D27">
        <v>4</v>
      </c>
      <c r="E27" s="9">
        <v>4798.5701444578845</v>
      </c>
      <c r="F27">
        <v>0.158</v>
      </c>
      <c r="G27" s="9">
        <v>4040.3960616335389</v>
      </c>
      <c r="H27">
        <v>0.10489510489510488</v>
      </c>
      <c r="I27" s="9">
        <v>4326.4118189770197</v>
      </c>
      <c r="J27" s="10"/>
    </row>
    <row r="28" spans="1:10" x14ac:dyDescent="0.2">
      <c r="A28" s="34">
        <v>36388</v>
      </c>
      <c r="B28">
        <v>1999</v>
      </c>
      <c r="C28">
        <v>228</v>
      </c>
      <c r="D28">
        <v>5</v>
      </c>
      <c r="E28" s="9">
        <v>3737.283616862554</v>
      </c>
      <c r="F28">
        <v>0.158</v>
      </c>
      <c r="G28" s="9">
        <v>3146.7928053982705</v>
      </c>
      <c r="H28">
        <v>0.10489510489510488</v>
      </c>
      <c r="I28" s="9">
        <v>3369.5512463306964</v>
      </c>
      <c r="J28" s="10"/>
    </row>
    <row r="29" spans="1:10" x14ac:dyDescent="0.2">
      <c r="A29" s="34">
        <v>36388</v>
      </c>
      <c r="B29">
        <v>1999</v>
      </c>
      <c r="C29">
        <v>228</v>
      </c>
      <c r="D29">
        <v>6</v>
      </c>
      <c r="E29" s="9">
        <v>4235.8856905717494</v>
      </c>
      <c r="F29">
        <v>0.19400000000000001</v>
      </c>
      <c r="G29" s="9">
        <v>3414.1238666008298</v>
      </c>
      <c r="H29">
        <v>0.10489510489510488</v>
      </c>
      <c r="I29" s="9">
        <v>3655.8064166465524</v>
      </c>
      <c r="J29" s="10"/>
    </row>
    <row r="30" spans="1:10" x14ac:dyDescent="0.2">
      <c r="A30" s="34">
        <v>36388</v>
      </c>
      <c r="B30">
        <v>1999</v>
      </c>
      <c r="C30">
        <v>228</v>
      </c>
      <c r="D30">
        <v>7</v>
      </c>
      <c r="E30" s="9">
        <v>4384.803720236474</v>
      </c>
      <c r="F30">
        <v>0.19400000000000001</v>
      </c>
      <c r="G30" s="9">
        <v>3534.1517985105979</v>
      </c>
      <c r="H30">
        <v>0.10489510489510488</v>
      </c>
      <c r="I30" s="9">
        <v>3784.3310105973342</v>
      </c>
      <c r="J30" s="10"/>
    </row>
    <row r="31" spans="1:10" x14ac:dyDescent="0.2">
      <c r="A31" s="34">
        <v>36388</v>
      </c>
      <c r="B31">
        <v>1999</v>
      </c>
      <c r="C31">
        <v>228</v>
      </c>
      <c r="D31">
        <v>8</v>
      </c>
      <c r="E31" s="9">
        <v>3024.4539486800977</v>
      </c>
      <c r="F31">
        <v>0.19400000000000001</v>
      </c>
      <c r="G31" s="9">
        <v>2437.7098826361589</v>
      </c>
      <c r="H31">
        <v>7.3426573426573438E-2</v>
      </c>
      <c r="I31" s="9">
        <v>3728.9614633932601</v>
      </c>
      <c r="J31" s="10"/>
    </row>
    <row r="32" spans="1:10" x14ac:dyDescent="0.2">
      <c r="A32" s="34">
        <v>36388</v>
      </c>
      <c r="B32">
        <v>1999</v>
      </c>
      <c r="C32">
        <v>228</v>
      </c>
      <c r="D32">
        <v>9</v>
      </c>
      <c r="E32" s="9">
        <v>4162.9678109279339</v>
      </c>
      <c r="F32">
        <v>0.14699999999999999</v>
      </c>
      <c r="G32" s="9">
        <v>3551.0115427215278</v>
      </c>
      <c r="H32">
        <v>0.10489510489510488</v>
      </c>
      <c r="I32" s="9">
        <v>3802.3842399110977</v>
      </c>
      <c r="J32" s="10"/>
    </row>
    <row r="33" spans="1:11" x14ac:dyDescent="0.2">
      <c r="A33" s="34">
        <v>36388</v>
      </c>
      <c r="B33">
        <v>1999</v>
      </c>
      <c r="C33">
        <v>228</v>
      </c>
      <c r="D33">
        <v>10</v>
      </c>
      <c r="E33" s="9">
        <v>3521.1067173438796</v>
      </c>
      <c r="F33">
        <v>0.14699999999999999</v>
      </c>
      <c r="G33" s="9">
        <v>3003.5040298943295</v>
      </c>
      <c r="H33">
        <v>9.4405594405594401E-2</v>
      </c>
      <c r="I33" s="9">
        <v>3573.4657733381478</v>
      </c>
      <c r="J33" s="10"/>
    </row>
    <row r="34" spans="1:11" x14ac:dyDescent="0.2">
      <c r="A34" s="34">
        <v>36388</v>
      </c>
      <c r="B34">
        <v>1999</v>
      </c>
      <c r="C34">
        <v>228</v>
      </c>
      <c r="D34">
        <v>11</v>
      </c>
      <c r="E34" s="9">
        <v>1048.6913052997727</v>
      </c>
      <c r="F34">
        <v>0.14699999999999999</v>
      </c>
      <c r="G34" s="9">
        <v>894.5336834207061</v>
      </c>
      <c r="H34">
        <v>3.1468531468531472E-2</v>
      </c>
      <c r="I34" s="9">
        <v>3192.8562129291954</v>
      </c>
      <c r="J34" s="10"/>
    </row>
    <row r="35" spans="1:11" x14ac:dyDescent="0.2">
      <c r="A35" s="34">
        <v>36444</v>
      </c>
      <c r="B35">
        <v>1999</v>
      </c>
      <c r="C35">
        <v>284</v>
      </c>
      <c r="D35">
        <v>1</v>
      </c>
      <c r="E35" s="9">
        <v>3497.197838120007</v>
      </c>
      <c r="F35">
        <v>0.14000000000000001</v>
      </c>
      <c r="G35" s="9">
        <v>3007.5901407832062</v>
      </c>
      <c r="H35">
        <v>9.4405594405594401E-2</v>
      </c>
      <c r="I35" s="9">
        <v>3578.3272875103062</v>
      </c>
      <c r="J35" s="10"/>
    </row>
    <row r="36" spans="1:11" x14ac:dyDescent="0.2">
      <c r="A36" s="34">
        <v>36444</v>
      </c>
      <c r="B36">
        <v>1999</v>
      </c>
      <c r="C36">
        <v>284</v>
      </c>
      <c r="D36">
        <v>2</v>
      </c>
      <c r="E36" s="9">
        <v>3915.9055143688802</v>
      </c>
      <c r="F36">
        <v>0.14000000000000001</v>
      </c>
      <c r="G36" s="9">
        <v>3367.6787423572368</v>
      </c>
      <c r="H36">
        <v>0.10489510489510488</v>
      </c>
      <c r="I36" s="9">
        <v>3606.0734866574817</v>
      </c>
      <c r="J36" s="10"/>
    </row>
    <row r="37" spans="1:11" x14ac:dyDescent="0.2">
      <c r="A37" s="34">
        <v>36444</v>
      </c>
      <c r="B37">
        <v>1999</v>
      </c>
      <c r="C37">
        <v>284</v>
      </c>
      <c r="D37">
        <v>3</v>
      </c>
      <c r="E37" s="9">
        <v>2584.798747652007</v>
      </c>
      <c r="F37">
        <v>0.14000000000000001</v>
      </c>
      <c r="G37" s="9">
        <v>2222.926922980726</v>
      </c>
      <c r="H37">
        <v>7.6923076923076913E-2</v>
      </c>
      <c r="I37" s="9">
        <v>3245.844252620263</v>
      </c>
      <c r="J37" s="10"/>
    </row>
    <row r="38" spans="1:11" x14ac:dyDescent="0.2">
      <c r="A38" s="34">
        <v>36444</v>
      </c>
      <c r="B38">
        <v>1999</v>
      </c>
      <c r="C38">
        <v>284</v>
      </c>
      <c r="D38">
        <v>4</v>
      </c>
      <c r="E38" s="9">
        <v>4249.3166781278715</v>
      </c>
      <c r="F38">
        <v>0.14199999999999999</v>
      </c>
      <c r="G38" s="9">
        <v>3645.9137098337137</v>
      </c>
      <c r="H38">
        <v>0.10489510489510488</v>
      </c>
      <c r="I38" s="9">
        <v>3904.0044403017228</v>
      </c>
      <c r="J38" s="10"/>
    </row>
    <row r="39" spans="1:11" x14ac:dyDescent="0.2">
      <c r="A39" s="34">
        <v>36444</v>
      </c>
      <c r="B39">
        <v>1999</v>
      </c>
      <c r="C39">
        <v>284</v>
      </c>
      <c r="D39">
        <v>5</v>
      </c>
      <c r="E39" s="9">
        <v>3660.036856663211</v>
      </c>
      <c r="F39">
        <v>0.14199999999999999</v>
      </c>
      <c r="G39" s="9">
        <v>3140.3116230170353</v>
      </c>
      <c r="H39">
        <v>0.10489510489510488</v>
      </c>
      <c r="I39" s="9">
        <v>3362.6112672723602</v>
      </c>
      <c r="J39" s="10"/>
    </row>
    <row r="40" spans="1:11" x14ac:dyDescent="0.2">
      <c r="A40" s="34">
        <v>36444</v>
      </c>
      <c r="B40">
        <v>1999</v>
      </c>
      <c r="C40">
        <v>284</v>
      </c>
      <c r="D40">
        <v>6</v>
      </c>
      <c r="E40" s="9">
        <v>2727.8508908507956</v>
      </c>
      <c r="F40">
        <v>0.13700000000000001</v>
      </c>
      <c r="G40" s="9">
        <v>2354.1353188042367</v>
      </c>
      <c r="H40">
        <v>0.10489510489510488</v>
      </c>
      <c r="I40" s="9">
        <v>2520.7822974236065</v>
      </c>
      <c r="J40" s="10"/>
    </row>
    <row r="41" spans="1:11" x14ac:dyDescent="0.2">
      <c r="A41" s="34">
        <v>36444</v>
      </c>
      <c r="B41">
        <v>1999</v>
      </c>
      <c r="C41">
        <v>284</v>
      </c>
      <c r="D41">
        <v>7</v>
      </c>
      <c r="E41" s="9">
        <v>2988.8064921852097</v>
      </c>
      <c r="F41">
        <v>0.13700000000000001</v>
      </c>
      <c r="G41" s="9">
        <v>2579.3400027558359</v>
      </c>
      <c r="H41">
        <v>0.10489510489510488</v>
      </c>
      <c r="I41" s="9">
        <v>2761.929004695482</v>
      </c>
      <c r="J41" s="10"/>
    </row>
    <row r="42" spans="1:11" x14ac:dyDescent="0.2">
      <c r="A42" s="34">
        <v>36444</v>
      </c>
      <c r="B42">
        <v>1999</v>
      </c>
      <c r="C42">
        <v>284</v>
      </c>
      <c r="D42">
        <v>8</v>
      </c>
      <c r="E42" s="9">
        <v>2205.9994190396187</v>
      </c>
      <c r="F42">
        <v>0.13700000000000001</v>
      </c>
      <c r="G42" s="9">
        <v>1903.7774986311911</v>
      </c>
      <c r="H42">
        <v>7.3426573426573438E-2</v>
      </c>
      <c r="I42" s="9">
        <v>2912.2058280347492</v>
      </c>
      <c r="J42" s="10"/>
    </row>
    <row r="43" spans="1:11" x14ac:dyDescent="0.2">
      <c r="A43" s="34">
        <v>36444</v>
      </c>
      <c r="B43">
        <v>1999</v>
      </c>
      <c r="C43">
        <v>284</v>
      </c>
      <c r="D43">
        <v>9</v>
      </c>
      <c r="E43" s="9">
        <v>3279.751994441785</v>
      </c>
      <c r="F43">
        <v>0.19400000000000001</v>
      </c>
      <c r="G43" s="9">
        <v>2643.4801075200785</v>
      </c>
      <c r="H43">
        <v>0.10489510489510488</v>
      </c>
      <c r="I43" s="9">
        <v>2830.6095258843507</v>
      </c>
      <c r="J43" s="10"/>
    </row>
    <row r="44" spans="1:11" x14ac:dyDescent="0.2">
      <c r="A44" s="34">
        <v>36444</v>
      </c>
      <c r="B44">
        <v>1999</v>
      </c>
      <c r="C44">
        <v>284</v>
      </c>
      <c r="D44">
        <v>10</v>
      </c>
      <c r="E44" s="9">
        <v>2405.2619284806265</v>
      </c>
      <c r="F44">
        <v>0.19400000000000001</v>
      </c>
      <c r="G44" s="9">
        <v>1938.6411143553848</v>
      </c>
      <c r="H44">
        <v>9.4405594405594401E-2</v>
      </c>
      <c r="I44" s="9">
        <v>2306.5285080302779</v>
      </c>
      <c r="J44" s="10"/>
    </row>
    <row r="45" spans="1:11" ht="15" x14ac:dyDescent="0.2">
      <c r="A45" s="34">
        <v>36444</v>
      </c>
      <c r="B45">
        <v>1999</v>
      </c>
      <c r="C45">
        <v>284</v>
      </c>
      <c r="D45">
        <v>11</v>
      </c>
      <c r="E45" s="9">
        <v>701.59371344149179</v>
      </c>
      <c r="F45">
        <v>0.19400000000000001</v>
      </c>
      <c r="G45" s="9">
        <v>565.48453303384235</v>
      </c>
      <c r="H45">
        <v>3.1468531468531472E-2</v>
      </c>
      <c r="I45" s="9">
        <v>2018.3821337036479</v>
      </c>
      <c r="J45" s="10"/>
      <c r="K45" s="4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X4:AS223"/>
  <sheetViews>
    <sheetView topLeftCell="A13" workbookViewId="0">
      <selection activeCell="O61" sqref="O61"/>
    </sheetView>
  </sheetViews>
  <sheetFormatPr defaultRowHeight="12.75" x14ac:dyDescent="0.2"/>
  <sheetData>
    <row r="4" spans="24:45" x14ac:dyDescent="0.2">
      <c r="X4" t="s">
        <v>5</v>
      </c>
    </row>
    <row r="5" spans="24:45" x14ac:dyDescent="0.2">
      <c r="X5" t="s">
        <v>4</v>
      </c>
      <c r="AD5" t="s">
        <v>18</v>
      </c>
      <c r="AI5" t="s">
        <v>20</v>
      </c>
      <c r="AQ5" t="s">
        <v>26</v>
      </c>
    </row>
    <row r="6" spans="24:45" x14ac:dyDescent="0.2">
      <c r="X6" t="s">
        <v>3</v>
      </c>
      <c r="Y6" t="s">
        <v>12</v>
      </c>
      <c r="Z6" t="s">
        <v>6</v>
      </c>
      <c r="AA6" t="s">
        <v>13</v>
      </c>
      <c r="AB6" t="s">
        <v>7</v>
      </c>
      <c r="AD6" t="s">
        <v>12</v>
      </c>
      <c r="AE6" t="s">
        <v>6</v>
      </c>
      <c r="AF6" t="s">
        <v>13</v>
      </c>
      <c r="AG6" t="s">
        <v>7</v>
      </c>
      <c r="AH6" t="s">
        <v>3</v>
      </c>
      <c r="AI6" t="s">
        <v>12</v>
      </c>
      <c r="AJ6" t="s">
        <v>6</v>
      </c>
      <c r="AK6" t="s">
        <v>21</v>
      </c>
      <c r="AL6" t="s">
        <v>22</v>
      </c>
      <c r="AQ6" t="s">
        <v>27</v>
      </c>
      <c r="AR6" t="s">
        <v>28</v>
      </c>
    </row>
    <row r="7" spans="24:45" x14ac:dyDescent="0.2">
      <c r="X7">
        <v>90</v>
      </c>
      <c r="Y7">
        <v>0</v>
      </c>
      <c r="Z7">
        <v>0</v>
      </c>
      <c r="AA7">
        <v>0</v>
      </c>
      <c r="AB7">
        <v>0</v>
      </c>
      <c r="AN7" t="s">
        <v>3</v>
      </c>
      <c r="AO7" t="s">
        <v>25</v>
      </c>
      <c r="AQ7" t="s">
        <v>3</v>
      </c>
      <c r="AR7" t="s">
        <v>29</v>
      </c>
    </row>
    <row r="8" spans="24:45" x14ac:dyDescent="0.2">
      <c r="X8">
        <v>131</v>
      </c>
      <c r="Y8">
        <f>'1999 alfalfa growth'!L2</f>
        <v>2.4149499334637965</v>
      </c>
      <c r="AD8">
        <f>+'1999 alfalfa growth'!D2</f>
        <v>41</v>
      </c>
      <c r="AH8">
        <f>+X8</f>
        <v>131</v>
      </c>
      <c r="AI8">
        <f>AVERAGE(AD8:AD11)</f>
        <v>34.9</v>
      </c>
      <c r="AJ8">
        <f>AVERAGE(AE12:AE15)</f>
        <v>33.35</v>
      </c>
      <c r="AK8">
        <f>+AF11</f>
        <v>26</v>
      </c>
      <c r="AL8">
        <f>+AG15</f>
        <v>30</v>
      </c>
      <c r="AN8">
        <v>131</v>
      </c>
      <c r="AO8">
        <f xml:space="preserve"> 1.5886*AN8 - 174.76</f>
        <v>33.346600000000024</v>
      </c>
      <c r="AQ8">
        <v>143</v>
      </c>
      <c r="AR8" s="9">
        <f xml:space="preserve"> 1.5886*AQ8 - 174.76</f>
        <v>52.409800000000018</v>
      </c>
    </row>
    <row r="9" spans="24:45" x14ac:dyDescent="0.2">
      <c r="X9">
        <v>131</v>
      </c>
      <c r="Y9">
        <f>'1999 alfalfa growth'!L3</f>
        <v>1.1484815047021943</v>
      </c>
      <c r="AD9">
        <f>+'1999 alfalfa growth'!D3</f>
        <v>26</v>
      </c>
      <c r="AH9">
        <f>+X16</f>
        <v>153</v>
      </c>
      <c r="AI9">
        <f>AVERAGE(AD16:AD19)</f>
        <v>63.8</v>
      </c>
      <c r="AJ9">
        <f>AVERAGE(AE20:AE23)</f>
        <v>68.300000000000011</v>
      </c>
      <c r="AK9">
        <f>+AF19</f>
        <v>63.8</v>
      </c>
      <c r="AL9">
        <f>+AG23</f>
        <v>67.8</v>
      </c>
      <c r="AQ9">
        <v>148</v>
      </c>
      <c r="AR9" s="9">
        <f xml:space="preserve"> 1.5886*AQ9 - 174.76</f>
        <v>60.352800000000002</v>
      </c>
    </row>
    <row r="10" spans="24:45" x14ac:dyDescent="0.2">
      <c r="X10">
        <v>131</v>
      </c>
      <c r="Y10">
        <f>'1999 alfalfa growth'!L4</f>
        <v>1.6763315784313726</v>
      </c>
      <c r="AD10">
        <f>+'1999 alfalfa growth'!D4</f>
        <v>32</v>
      </c>
      <c r="AM10" t="s">
        <v>24</v>
      </c>
      <c r="AQ10">
        <v>150</v>
      </c>
      <c r="AR10" s="9">
        <f xml:space="preserve"> 1.5886*AQ10 - 174.76</f>
        <v>63.53</v>
      </c>
    </row>
    <row r="11" spans="24:45" x14ac:dyDescent="0.2">
      <c r="X11">
        <v>131</v>
      </c>
      <c r="Y11">
        <f>'1999 alfalfa growth'!L5</f>
        <v>2.75080455952381</v>
      </c>
      <c r="AD11">
        <f>+'1999 alfalfa growth'!D5</f>
        <v>40.6</v>
      </c>
      <c r="AF11">
        <f>+'1999 alfalfa growth'!D6</f>
        <v>26</v>
      </c>
      <c r="AH11">
        <f>+X55</f>
        <v>173</v>
      </c>
      <c r="AI11">
        <f>AVERAGE(AD55:AD58)</f>
        <v>45.099999999999994</v>
      </c>
      <c r="AJ11">
        <f>AVERAGE(AE59:AE62)</f>
        <v>41.2</v>
      </c>
      <c r="AK11">
        <f>+AF58</f>
        <v>44.6</v>
      </c>
      <c r="AL11">
        <f>+AG62</f>
        <v>46</v>
      </c>
      <c r="AN11">
        <v>173</v>
      </c>
      <c r="AO11">
        <f xml:space="preserve"> 1.9964*AN11 - 304.18</f>
        <v>41.197200000000009</v>
      </c>
      <c r="AQ11">
        <v>151</v>
      </c>
      <c r="AR11" s="9">
        <f xml:space="preserve"> 1.5886*AQ11 - 174.76</f>
        <v>65.118600000000015</v>
      </c>
    </row>
    <row r="12" spans="24:45" x14ac:dyDescent="0.2">
      <c r="X12">
        <v>131</v>
      </c>
      <c r="Z12">
        <f>'1999 alfalfa growth'!L7</f>
        <v>1.4467560705190989</v>
      </c>
      <c r="AE12">
        <f>+'1999 alfalfa growth'!D7</f>
        <v>30.4</v>
      </c>
      <c r="AH12">
        <f>+X63</f>
        <v>187</v>
      </c>
      <c r="AI12">
        <f>AVERAGE(AD63:AD66)</f>
        <v>68.2</v>
      </c>
      <c r="AJ12">
        <f>AVERAGE(AE67:AE70)</f>
        <v>69.149999999999991</v>
      </c>
      <c r="AK12">
        <f>+AF66</f>
        <v>73.2</v>
      </c>
      <c r="AL12">
        <f>+AG70</f>
        <v>72.599999999999994</v>
      </c>
      <c r="AQ12">
        <v>152</v>
      </c>
      <c r="AR12" s="9">
        <f xml:space="preserve"> 1.5886*AQ12 - 174.76</f>
        <v>66.7072</v>
      </c>
    </row>
    <row r="13" spans="24:45" x14ac:dyDescent="0.2">
      <c r="X13">
        <v>131</v>
      </c>
      <c r="Z13">
        <f>'1999 alfalfa growth'!L8</f>
        <v>2.1824771080550098</v>
      </c>
      <c r="AE13">
        <f>+'1999 alfalfa growth'!D8</f>
        <v>37.6</v>
      </c>
      <c r="AM13" t="s">
        <v>24</v>
      </c>
      <c r="AQ13">
        <v>167</v>
      </c>
      <c r="AR13" s="9">
        <f t="shared" ref="AR13:AR23" si="0" xml:space="preserve"> 1.9964*AQ13 - 304.18</f>
        <v>29.218799999999987</v>
      </c>
      <c r="AS13" t="s">
        <v>24</v>
      </c>
    </row>
    <row r="14" spans="24:45" x14ac:dyDescent="0.2">
      <c r="X14">
        <v>131</v>
      </c>
      <c r="Z14">
        <f>'1999 alfalfa growth'!L9</f>
        <v>1.8994840349854225</v>
      </c>
      <c r="AE14">
        <f>+'1999 alfalfa growth'!D9</f>
        <v>34.6</v>
      </c>
      <c r="AH14">
        <f>+X102</f>
        <v>200</v>
      </c>
      <c r="AI14">
        <f>AVERAGE(AD102:AD105)</f>
        <v>32.299999999999997</v>
      </c>
      <c r="AJ14">
        <f>AVERAGE(AE106:AE109)</f>
        <v>33.15</v>
      </c>
      <c r="AK14">
        <f>+AF105</f>
        <v>36</v>
      </c>
      <c r="AL14">
        <f>+AG109</f>
        <v>36.6</v>
      </c>
      <c r="AN14">
        <v>200</v>
      </c>
      <c r="AO14">
        <f xml:space="preserve"> -0.1582*AN14^2 + 67.848*AN14 - 7206.9</f>
        <v>34.700000000000728</v>
      </c>
      <c r="AQ14">
        <v>169</v>
      </c>
      <c r="AR14" s="9">
        <f t="shared" si="0"/>
        <v>33.211599999999976</v>
      </c>
    </row>
    <row r="15" spans="24:45" x14ac:dyDescent="0.2">
      <c r="X15">
        <v>131</v>
      </c>
      <c r="Z15">
        <f>'1999 alfalfa growth'!L10</f>
        <v>1.8284557240356087</v>
      </c>
      <c r="AE15">
        <f>+'1999 alfalfa growth'!D10</f>
        <v>30.8</v>
      </c>
      <c r="AG15">
        <f>+'1999 alfalfa growth'!D11</f>
        <v>30</v>
      </c>
      <c r="AH15">
        <f>+X110</f>
        <v>209</v>
      </c>
      <c r="AI15">
        <f>AVERAGE(AD110:AD113)</f>
        <v>62.5</v>
      </c>
      <c r="AJ15">
        <f>AVERAGE(AE114:AE117)</f>
        <v>61.300000000000004</v>
      </c>
      <c r="AK15">
        <f>+AF113</f>
        <v>67</v>
      </c>
      <c r="AL15">
        <f>+AG117</f>
        <v>66</v>
      </c>
      <c r="AQ15">
        <v>170</v>
      </c>
      <c r="AR15" s="9">
        <f t="shared" si="0"/>
        <v>35.20799999999997</v>
      </c>
    </row>
    <row r="16" spans="24:45" x14ac:dyDescent="0.2">
      <c r="X16">
        <v>153</v>
      </c>
      <c r="Y16" s="10">
        <f>'1999 alfalfa growth'!L12</f>
        <v>2.8661135535331903</v>
      </c>
      <c r="AD16">
        <f>+'1999 alfalfa growth'!D12</f>
        <v>63</v>
      </c>
      <c r="AH16">
        <f>+X118</f>
        <v>224</v>
      </c>
      <c r="AI16">
        <f>AVERAGE(AD118:AD121)</f>
        <v>55</v>
      </c>
      <c r="AJ16">
        <f>AVERAGE(AE122:AE125)</f>
        <v>51.25</v>
      </c>
      <c r="AK16">
        <f>+AF121</f>
        <v>50</v>
      </c>
      <c r="AL16">
        <f>+AG125</f>
        <v>50</v>
      </c>
      <c r="AM16" t="s">
        <v>23</v>
      </c>
      <c r="AQ16">
        <v>173</v>
      </c>
      <c r="AR16" s="9">
        <f t="shared" si="0"/>
        <v>41.197200000000009</v>
      </c>
    </row>
    <row r="17" spans="24:45" x14ac:dyDescent="0.2">
      <c r="X17">
        <v>153</v>
      </c>
      <c r="Y17">
        <f>'1999 alfalfa growth'!L13</f>
        <v>2.6138054431630975</v>
      </c>
      <c r="AD17">
        <f>+'1999 alfalfa growth'!D13</f>
        <v>63.6</v>
      </c>
      <c r="AM17" t="s">
        <v>24</v>
      </c>
      <c r="AQ17">
        <v>177</v>
      </c>
      <c r="AR17" s="9">
        <f t="shared" si="0"/>
        <v>49.182799999999986</v>
      </c>
    </row>
    <row r="18" spans="24:45" x14ac:dyDescent="0.2">
      <c r="X18">
        <v>153</v>
      </c>
      <c r="Y18">
        <f>'1999 alfalfa growth'!L14</f>
        <v>3.4819987032224535</v>
      </c>
      <c r="AD18">
        <f>+'1999 alfalfa growth'!D14</f>
        <v>62.8</v>
      </c>
      <c r="AH18">
        <f>+X184</f>
        <v>237</v>
      </c>
      <c r="AI18">
        <f>AVERAGE(AD184:AD187)</f>
        <v>28.95</v>
      </c>
      <c r="AJ18">
        <f>AVERAGE(AE188:AE191)</f>
        <v>28.85</v>
      </c>
      <c r="AK18">
        <f>+AF187</f>
        <v>33</v>
      </c>
      <c r="AL18">
        <f>+AG191</f>
        <v>28.4</v>
      </c>
      <c r="AN18">
        <v>237</v>
      </c>
      <c r="AO18">
        <f xml:space="preserve"> -0.0471*AN18^2 + 24.979*AN18 - 3243.7</f>
        <v>30.763100000000122</v>
      </c>
      <c r="AQ18">
        <v>178</v>
      </c>
      <c r="AR18" s="9">
        <f t="shared" si="0"/>
        <v>51.17919999999998</v>
      </c>
    </row>
    <row r="19" spans="24:45" x14ac:dyDescent="0.2">
      <c r="X19">
        <v>153</v>
      </c>
      <c r="Y19">
        <f>'1999 alfalfa growth'!L15</f>
        <v>3.2752499687331538</v>
      </c>
      <c r="AD19">
        <f>+'1999 alfalfa growth'!D15</f>
        <v>65.8</v>
      </c>
      <c r="AF19">
        <f>+'1999 alfalfa growth'!D106</f>
        <v>63.8</v>
      </c>
      <c r="AH19">
        <f>+X192</f>
        <v>251</v>
      </c>
      <c r="AI19">
        <f>AVERAGE(AD192:AD195)</f>
        <v>49.400000000000006</v>
      </c>
      <c r="AJ19">
        <f>AVERAGE(AE196:AE199)</f>
        <v>60.25</v>
      </c>
      <c r="AK19">
        <f>+AF195</f>
        <v>56.8</v>
      </c>
      <c r="AL19">
        <f>+AG199</f>
        <v>56.2</v>
      </c>
      <c r="AQ19">
        <v>180</v>
      </c>
      <c r="AR19" s="9">
        <f t="shared" si="0"/>
        <v>55.171999999999969</v>
      </c>
    </row>
    <row r="20" spans="24:45" x14ac:dyDescent="0.2">
      <c r="X20">
        <v>153</v>
      </c>
      <c r="Z20">
        <f>'1999 alfalfa growth'!L16</f>
        <v>2.8666349794344477</v>
      </c>
      <c r="AE20">
        <f>+'1999 alfalfa growth'!D16</f>
        <v>67</v>
      </c>
      <c r="AH20">
        <f>+X200</f>
        <v>265</v>
      </c>
      <c r="AI20">
        <f>AVERAGE(AD200:AD203)</f>
        <v>56.55</v>
      </c>
      <c r="AJ20">
        <f>AVERAGE(AE204:AE207)</f>
        <v>63.899999999999991</v>
      </c>
      <c r="AK20">
        <f>+AF203</f>
        <v>60.4</v>
      </c>
      <c r="AL20">
        <f>+AG207</f>
        <v>61.6</v>
      </c>
      <c r="AQ20">
        <v>182</v>
      </c>
      <c r="AR20" s="9">
        <f t="shared" si="0"/>
        <v>59.164799999999957</v>
      </c>
    </row>
    <row r="21" spans="24:45" x14ac:dyDescent="0.2">
      <c r="X21">
        <v>153</v>
      </c>
      <c r="Z21">
        <f>'1999 alfalfa growth'!L17</f>
        <v>2.627229827906977</v>
      </c>
      <c r="AE21">
        <f>+'1999 alfalfa growth'!D17</f>
        <v>69.8</v>
      </c>
      <c r="AH21">
        <f>+X208</f>
        <v>277</v>
      </c>
      <c r="AI21">
        <f>AVERAGE(AD208:AD211)</f>
        <v>55.6</v>
      </c>
      <c r="AJ21">
        <f>AVERAGE(AE212:AE215)</f>
        <v>61.25</v>
      </c>
      <c r="AK21">
        <f>+AF211</f>
        <v>61.8</v>
      </c>
      <c r="AL21">
        <f>+AG215</f>
        <v>55</v>
      </c>
      <c r="AQ21">
        <v>183</v>
      </c>
      <c r="AR21" s="9">
        <f t="shared" si="0"/>
        <v>61.161200000000008</v>
      </c>
    </row>
    <row r="22" spans="24:45" x14ac:dyDescent="0.2">
      <c r="X22">
        <v>153</v>
      </c>
      <c r="Z22">
        <f>'1999 alfalfa growth'!L18</f>
        <v>3.0373257428728069</v>
      </c>
      <c r="AE22">
        <f>+'1999 alfalfa growth'!D18</f>
        <v>67.8</v>
      </c>
      <c r="AH22">
        <f>+X216</f>
        <v>278</v>
      </c>
      <c r="AK22">
        <f>+AF219</f>
        <v>61.8</v>
      </c>
      <c r="AL22">
        <f>+AG223</f>
        <v>55</v>
      </c>
      <c r="AQ22">
        <v>185</v>
      </c>
      <c r="AR22" s="9">
        <f t="shared" si="0"/>
        <v>65.153999999999996</v>
      </c>
    </row>
    <row r="23" spans="24:45" x14ac:dyDescent="0.2">
      <c r="X23">
        <v>153</v>
      </c>
      <c r="Z23">
        <f>'1999 alfalfa growth'!L19</f>
        <v>3.1731106066196419</v>
      </c>
      <c r="AE23">
        <f>+'1999 alfalfa growth'!D19</f>
        <v>68.599999999999994</v>
      </c>
      <c r="AG23">
        <f>+'1999 alfalfa growth'!D110</f>
        <v>67.8</v>
      </c>
      <c r="AQ23">
        <v>186</v>
      </c>
      <c r="AR23" s="9">
        <f t="shared" si="0"/>
        <v>67.150399999999991</v>
      </c>
    </row>
    <row r="24" spans="24:45" x14ac:dyDescent="0.2">
      <c r="X24">
        <v>153</v>
      </c>
      <c r="AA24">
        <f>'1999 alfalfa growth'!L106</f>
        <v>2.1185190252838946</v>
      </c>
      <c r="AQ24">
        <v>206</v>
      </c>
      <c r="AR24" s="9">
        <f xml:space="preserve"> -0.1582*AQ24^2 + 67.848*AQ24 - 7206.9</f>
        <v>56.412800000000061</v>
      </c>
      <c r="AS24" t="s">
        <v>24</v>
      </c>
    </row>
    <row r="25" spans="24:45" x14ac:dyDescent="0.2">
      <c r="X25">
        <v>153</v>
      </c>
      <c r="AA25">
        <f>'1999 alfalfa growth'!L107</f>
        <v>2.4961169232893909</v>
      </c>
      <c r="AI25" s="36" t="s">
        <v>143</v>
      </c>
      <c r="AQ25">
        <v>212</v>
      </c>
      <c r="AR25" s="9">
        <f xml:space="preserve"> -0.1582*AQ25^2 + 67.848*AQ25 - 7206.9</f>
        <v>66.735200000000077</v>
      </c>
    </row>
    <row r="26" spans="24:45" x14ac:dyDescent="0.2">
      <c r="X26">
        <v>153</v>
      </c>
      <c r="AA26">
        <f>'1999 alfalfa growth'!L108</f>
        <v>2.3316246960691527</v>
      </c>
      <c r="AI26" s="36" t="s">
        <v>12</v>
      </c>
      <c r="AJ26" s="36" t="s">
        <v>6</v>
      </c>
      <c r="AK26" s="36" t="s">
        <v>21</v>
      </c>
      <c r="AL26" s="36" t="s">
        <v>22</v>
      </c>
      <c r="AQ26">
        <v>213</v>
      </c>
      <c r="AR26" s="9">
        <f xml:space="preserve"> -0.1582*AQ26^2 + 67.848*AQ26 - 7206.9</f>
        <v>67.348199999999451</v>
      </c>
    </row>
    <row r="27" spans="24:45" x14ac:dyDescent="0.2">
      <c r="X27">
        <v>153</v>
      </c>
      <c r="AA27">
        <f>'1999 alfalfa growth'!L109</f>
        <v>2.4014332700138961</v>
      </c>
      <c r="AH27">
        <v>131</v>
      </c>
      <c r="AI27">
        <f>AVERAGE(Y8:Y11)</f>
        <v>1.9976418940302934</v>
      </c>
      <c r="AJ27">
        <f>AVERAGE(Z12:Z15)</f>
        <v>1.8392932343987849</v>
      </c>
      <c r="AQ27">
        <v>219</v>
      </c>
      <c r="AR27" s="9">
        <f xml:space="preserve"> -0.1582*AQ27^2 + 67.848*AQ27 - 7206.9</f>
        <v>64.381799999999203</v>
      </c>
    </row>
    <row r="28" spans="24:45" x14ac:dyDescent="0.2">
      <c r="X28">
        <v>153</v>
      </c>
      <c r="AB28">
        <f>'1999 alfalfa growth'!L110</f>
        <v>3.2537052488791951</v>
      </c>
      <c r="AH28">
        <v>153</v>
      </c>
      <c r="AI28" s="10">
        <f>AVERAGE(Y16:Y19)</f>
        <v>3.059291917162974</v>
      </c>
      <c r="AJ28">
        <f>AVERAGE(Z20:Z23)</f>
        <v>2.9260752892084678</v>
      </c>
      <c r="AK28">
        <f>AVERAGE(AA24:AA27)</f>
        <v>2.3369234786640836</v>
      </c>
      <c r="AL28">
        <f>AVERAGE(AB28:AB31)</f>
        <v>2.9745755679474515</v>
      </c>
      <c r="AQ28">
        <v>223</v>
      </c>
      <c r="AR28" s="9">
        <f xml:space="preserve"> -0.1582*AQ28^2 + 67.848*AQ28 - 7206.9</f>
        <v>56.076199999999517</v>
      </c>
    </row>
    <row r="29" spans="24:45" x14ac:dyDescent="0.2">
      <c r="X29">
        <v>153</v>
      </c>
      <c r="AB29">
        <f>'1999 alfalfa growth'!L111</f>
        <v>3.1706862278617711</v>
      </c>
      <c r="AQ29">
        <v>248</v>
      </c>
      <c r="AR29" s="9">
        <f t="shared" ref="AR29:AR35" si="1" xml:space="preserve"> -0.0471*AQ29^2 + 24.979*AQ29 - 3243.7</f>
        <v>54.253599999999551</v>
      </c>
      <c r="AS29" t="s">
        <v>24</v>
      </c>
    </row>
    <row r="30" spans="24:45" x14ac:dyDescent="0.2">
      <c r="X30">
        <v>153</v>
      </c>
      <c r="AB30">
        <f>'1999 alfalfa growth'!L112</f>
        <v>2.7720645963511972</v>
      </c>
      <c r="AH30">
        <v>173</v>
      </c>
      <c r="AI30">
        <f>AVERAGE(Y55:Y58)</f>
        <v>2.4183882535912167</v>
      </c>
      <c r="AJ30">
        <f>AVERAGE(Z59:Z62)</f>
        <v>2.1723331890965096</v>
      </c>
      <c r="AQ30">
        <v>250</v>
      </c>
      <c r="AR30" s="9">
        <f t="shared" si="1"/>
        <v>57.300000000000182</v>
      </c>
    </row>
    <row r="31" spans="24:45" x14ac:dyDescent="0.2">
      <c r="X31">
        <v>153</v>
      </c>
      <c r="AB31">
        <f>'1999 alfalfa growth'!L113</f>
        <v>2.7018461986976412</v>
      </c>
      <c r="AH31">
        <v>187</v>
      </c>
      <c r="AI31">
        <f>AVERAGE(Y63:Y66)</f>
        <v>3.3206520076373462</v>
      </c>
      <c r="AJ31">
        <f>AVERAGE(Z67:Z70)</f>
        <v>3.5738248306110774</v>
      </c>
      <c r="AK31">
        <f>AVERAGE(AA71:AA74)</f>
        <v>2.3514393651587664</v>
      </c>
      <c r="AL31" s="10">
        <f>AVERAGE(AB75:AB78)</f>
        <v>2.604263448272659</v>
      </c>
      <c r="AQ31">
        <v>251</v>
      </c>
      <c r="AR31" s="9">
        <f t="shared" si="1"/>
        <v>58.681899999999132</v>
      </c>
    </row>
    <row r="32" spans="24:45" x14ac:dyDescent="0.2">
      <c r="AQ32">
        <v>253</v>
      </c>
      <c r="AR32" s="9">
        <f t="shared" si="1"/>
        <v>61.163099999999758</v>
      </c>
    </row>
    <row r="33" spans="34:45" x14ac:dyDescent="0.2">
      <c r="AH33">
        <v>200</v>
      </c>
      <c r="AI33">
        <f>AVERAGE(Y102:Y105)</f>
        <v>1.4926028902633162</v>
      </c>
      <c r="AJ33">
        <f>AVERAGE(Z106:Z109)</f>
        <v>1.8500588602847123</v>
      </c>
      <c r="AQ33">
        <v>254</v>
      </c>
      <c r="AR33" s="9">
        <f t="shared" si="1"/>
        <v>62.262400000000071</v>
      </c>
    </row>
    <row r="34" spans="34:45" x14ac:dyDescent="0.2">
      <c r="AH34">
        <v>209</v>
      </c>
      <c r="AI34">
        <f>AVERAGE(Y110:Y113)</f>
        <v>3.5981554759722219</v>
      </c>
      <c r="AJ34">
        <f>AVERAGE(Z114:Z117)</f>
        <v>3.4211091389568002</v>
      </c>
      <c r="AQ34">
        <v>255</v>
      </c>
      <c r="AR34" s="9">
        <f t="shared" si="1"/>
        <v>63.267499999999472</v>
      </c>
    </row>
    <row r="35" spans="34:45" x14ac:dyDescent="0.2">
      <c r="AH35">
        <v>224</v>
      </c>
      <c r="AI35">
        <f>AVERAGE(Y118:Y121)</f>
        <v>3.3374163487615696</v>
      </c>
      <c r="AJ35">
        <f>AVERAGE(Z122:Z125)</f>
        <v>3.9930584979551611</v>
      </c>
      <c r="AK35">
        <f>AVERAGE(AA126:AA129)</f>
        <v>2.8432280203556037</v>
      </c>
      <c r="AL35">
        <f>AVERAGE(AB130:AB133)</f>
        <v>2.9466477764812833</v>
      </c>
      <c r="AQ35">
        <v>263</v>
      </c>
      <c r="AR35" s="9">
        <f t="shared" si="1"/>
        <v>67.917099999999664</v>
      </c>
      <c r="AS35" t="s">
        <v>24</v>
      </c>
    </row>
    <row r="37" spans="34:45" x14ac:dyDescent="0.2">
      <c r="AH37">
        <v>237</v>
      </c>
      <c r="AI37">
        <f>AVERAGE(Y184:Y187)</f>
        <v>1.4229854814026219</v>
      </c>
      <c r="AJ37">
        <f>AVERAGE(Z188:Z191)</f>
        <v>1.3807734575899702</v>
      </c>
    </row>
    <row r="38" spans="34:45" x14ac:dyDescent="0.2">
      <c r="AH38">
        <v>251</v>
      </c>
      <c r="AI38">
        <f>AVERAGE(Y192:Y195)</f>
        <v>3.1868784197086479</v>
      </c>
      <c r="AJ38">
        <f>AVERAGE(Z196:Z199)</f>
        <v>4.3673713001086458</v>
      </c>
    </row>
    <row r="39" spans="34:45" x14ac:dyDescent="0.2">
      <c r="AH39">
        <v>265</v>
      </c>
      <c r="AI39">
        <f>AVERAGE(Y200:Y203)</f>
        <v>3.4995276081623103</v>
      </c>
      <c r="AJ39">
        <f>AVERAGE(Z204:Z207)</f>
        <v>4.2240059598289905</v>
      </c>
    </row>
    <row r="40" spans="34:45" x14ac:dyDescent="0.2">
      <c r="AH40">
        <v>277</v>
      </c>
      <c r="AI40">
        <f>AVERAGE(Y208:Y211)</f>
        <v>3.1239760220376267</v>
      </c>
      <c r="AJ40">
        <f>AVERAGE(Z212:Z215)</f>
        <v>4.1884908107321852</v>
      </c>
    </row>
    <row r="41" spans="34:45" x14ac:dyDescent="0.2">
      <c r="AH41">
        <v>278</v>
      </c>
      <c r="AK41">
        <f>AVERAGE(AA216:AA219)</f>
        <v>2.9903147465214901</v>
      </c>
      <c r="AL41">
        <f>AVERAGE(AB220:AB223)</f>
        <v>2.868468506311654</v>
      </c>
    </row>
    <row r="51" spans="24:33" x14ac:dyDescent="0.2">
      <c r="X51" t="s">
        <v>5</v>
      </c>
    </row>
    <row r="52" spans="24:33" x14ac:dyDescent="0.2">
      <c r="X52" t="s">
        <v>0</v>
      </c>
      <c r="AD52" t="s">
        <v>18</v>
      </c>
    </row>
    <row r="53" spans="24:33" x14ac:dyDescent="0.2">
      <c r="X53" t="s">
        <v>3</v>
      </c>
      <c r="Y53" t="s">
        <v>12</v>
      </c>
      <c r="Z53" t="s">
        <v>6</v>
      </c>
      <c r="AA53" t="s">
        <v>13</v>
      </c>
      <c r="AB53" t="s">
        <v>7</v>
      </c>
      <c r="AD53" t="s">
        <v>12</v>
      </c>
      <c r="AE53" t="s">
        <v>6</v>
      </c>
      <c r="AF53" t="s">
        <v>13</v>
      </c>
      <c r="AG53" t="s">
        <v>7</v>
      </c>
    </row>
    <row r="54" spans="24:33" x14ac:dyDescent="0.2">
      <c r="X54">
        <v>154</v>
      </c>
      <c r="Y54">
        <v>0</v>
      </c>
      <c r="Z54">
        <v>0</v>
      </c>
      <c r="AA54">
        <v>0</v>
      </c>
      <c r="AB54">
        <v>0</v>
      </c>
    </row>
    <row r="55" spans="24:33" x14ac:dyDescent="0.2">
      <c r="X55">
        <v>173</v>
      </c>
      <c r="Y55">
        <f>'1999 alfalfa growth'!L20</f>
        <v>2.5088548971596474</v>
      </c>
      <c r="AD55">
        <f>+'1999 alfalfa growth'!D20</f>
        <v>46.6</v>
      </c>
    </row>
    <row r="56" spans="24:33" x14ac:dyDescent="0.2">
      <c r="X56">
        <v>173</v>
      </c>
      <c r="Y56">
        <f>'1999 alfalfa growth'!L21</f>
        <v>2.2496503227408144</v>
      </c>
      <c r="AD56">
        <f>+'1999 alfalfa growth'!D21</f>
        <v>42.8</v>
      </c>
    </row>
    <row r="57" spans="24:33" x14ac:dyDescent="0.2">
      <c r="X57">
        <v>173</v>
      </c>
      <c r="Y57">
        <f>'1999 alfalfa growth'!L22</f>
        <v>2.3310106156824784</v>
      </c>
      <c r="AD57">
        <f>+'1999 alfalfa growth'!D22</f>
        <v>43.8</v>
      </c>
    </row>
    <row r="58" spans="24:33" x14ac:dyDescent="0.2">
      <c r="X58">
        <v>173</v>
      </c>
      <c r="Y58">
        <f>'1999 alfalfa growth'!L23</f>
        <v>2.5840371787819256</v>
      </c>
      <c r="AD58">
        <f>+'1999 alfalfa growth'!D23</f>
        <v>47.2</v>
      </c>
      <c r="AF58">
        <f>+'1999 alfalfa growth'!D24</f>
        <v>44.6</v>
      </c>
    </row>
    <row r="59" spans="24:33" x14ac:dyDescent="0.2">
      <c r="X59">
        <v>173</v>
      </c>
      <c r="Z59">
        <f>'1999 alfalfa growth'!L25</f>
        <v>1.9575880579710145</v>
      </c>
      <c r="AE59">
        <f>+'1999 alfalfa growth'!D25</f>
        <v>37.6</v>
      </c>
    </row>
    <row r="60" spans="24:33" x14ac:dyDescent="0.2">
      <c r="X60">
        <v>173</v>
      </c>
      <c r="Z60">
        <f>'1999 alfalfa growth'!L26</f>
        <v>2.8087347030784513</v>
      </c>
      <c r="AE60">
        <f>+'1999 alfalfa growth'!D26</f>
        <v>47.6</v>
      </c>
    </row>
    <row r="61" spans="24:33" x14ac:dyDescent="0.2">
      <c r="X61">
        <v>173</v>
      </c>
      <c r="Z61">
        <f>'1999 alfalfa growth'!L27</f>
        <v>1.6777112988047806</v>
      </c>
      <c r="AE61">
        <f>+'1999 alfalfa growth'!D27</f>
        <v>38.200000000000003</v>
      </c>
    </row>
    <row r="62" spans="24:33" x14ac:dyDescent="0.2">
      <c r="X62">
        <v>173</v>
      </c>
      <c r="Z62">
        <f>'1999 alfalfa growth'!L28</f>
        <v>2.2452986965317918</v>
      </c>
      <c r="AE62">
        <f>+'1999 alfalfa growth'!D28</f>
        <v>41.4</v>
      </c>
      <c r="AG62">
        <f>+'1999 alfalfa growth'!D29</f>
        <v>46</v>
      </c>
    </row>
    <row r="63" spans="24:33" x14ac:dyDescent="0.2">
      <c r="X63">
        <v>187</v>
      </c>
      <c r="Y63">
        <f>'1999 alfalfa growth'!L30</f>
        <v>3.6437532595134123</v>
      </c>
      <c r="AD63">
        <f>+'1999 alfalfa growth'!D30</f>
        <v>69.599999999999994</v>
      </c>
    </row>
    <row r="64" spans="24:33" x14ac:dyDescent="0.2">
      <c r="X64">
        <v>187</v>
      </c>
      <c r="Y64">
        <f>'1999 alfalfa growth'!L31</f>
        <v>2.6207903178294574</v>
      </c>
      <c r="AD64">
        <f>+'1999 alfalfa growth'!D31</f>
        <v>64.400000000000006</v>
      </c>
    </row>
    <row r="65" spans="24:33" x14ac:dyDescent="0.2">
      <c r="X65">
        <v>187</v>
      </c>
      <c r="Y65">
        <f>'1999 alfalfa growth'!L32</f>
        <v>3.0608283937947496</v>
      </c>
      <c r="AD65">
        <f>+'1999 alfalfa growth'!D32</f>
        <v>65.599999999999994</v>
      </c>
    </row>
    <row r="66" spans="24:33" x14ac:dyDescent="0.2">
      <c r="X66">
        <v>187</v>
      </c>
      <c r="Y66">
        <f>'1999 alfalfa growth'!L33</f>
        <v>3.9572360594117644</v>
      </c>
      <c r="AD66">
        <f>+'1999 alfalfa growth'!D33</f>
        <v>73.2</v>
      </c>
      <c r="AF66">
        <f>+'1999 alfalfa growth'!D114</f>
        <v>73.2</v>
      </c>
    </row>
    <row r="67" spans="24:33" x14ac:dyDescent="0.2">
      <c r="X67">
        <v>187</v>
      </c>
      <c r="Z67">
        <f>'1999 alfalfa growth'!L34</f>
        <v>2.9095507041420117</v>
      </c>
      <c r="AE67">
        <f>+'1999 alfalfa growth'!D34</f>
        <v>70.2</v>
      </c>
    </row>
    <row r="68" spans="24:33" x14ac:dyDescent="0.2">
      <c r="X68">
        <v>187</v>
      </c>
      <c r="Z68">
        <f>'1999 alfalfa growth'!L35</f>
        <v>4.1038966256313127</v>
      </c>
      <c r="AE68">
        <f>+'1999 alfalfa growth'!D35</f>
        <v>70</v>
      </c>
    </row>
    <row r="69" spans="24:33" x14ac:dyDescent="0.2">
      <c r="X69">
        <v>187</v>
      </c>
      <c r="Z69">
        <f>'1999 alfalfa growth'!L36</f>
        <v>3.4517531269649329</v>
      </c>
      <c r="AE69">
        <f>+'1999 alfalfa growth'!D36</f>
        <v>66.2</v>
      </c>
    </row>
    <row r="70" spans="24:33" x14ac:dyDescent="0.2">
      <c r="X70">
        <v>187</v>
      </c>
      <c r="Z70">
        <f>'1999 alfalfa growth'!L37</f>
        <v>3.8300988657060517</v>
      </c>
      <c r="AE70">
        <f>+'1999 alfalfa growth'!D37</f>
        <v>70.2</v>
      </c>
      <c r="AG70">
        <f>+'1999 alfalfa growth'!D118</f>
        <v>72.599999999999994</v>
      </c>
    </row>
    <row r="71" spans="24:33" x14ac:dyDescent="0.2">
      <c r="X71">
        <v>187</v>
      </c>
      <c r="AA71">
        <f>'1999 alfalfa growth'!L114</f>
        <v>2.2944875606510968</v>
      </c>
    </row>
    <row r="72" spans="24:33" x14ac:dyDescent="0.2">
      <c r="X72">
        <v>187</v>
      </c>
      <c r="AA72">
        <f>'1999 alfalfa growth'!L115</f>
        <v>2.5682601574987221</v>
      </c>
    </row>
    <row r="73" spans="24:33" x14ac:dyDescent="0.2">
      <c r="X73">
        <v>187</v>
      </c>
      <c r="AA73">
        <f>'1999 alfalfa growth'!L116</f>
        <v>2.4364577144091597</v>
      </c>
    </row>
    <row r="74" spans="24:33" x14ac:dyDescent="0.2">
      <c r="X74">
        <v>187</v>
      </c>
      <c r="AA74">
        <f>'1999 alfalfa growth'!L117</f>
        <v>2.1065520280760861</v>
      </c>
    </row>
    <row r="75" spans="24:33" x14ac:dyDescent="0.2">
      <c r="X75">
        <v>187</v>
      </c>
      <c r="AB75" s="10">
        <f>'1999 alfalfa growth'!L118</f>
        <v>2.2554719209183669</v>
      </c>
    </row>
    <row r="76" spans="24:33" x14ac:dyDescent="0.2">
      <c r="X76">
        <v>187</v>
      </c>
      <c r="AB76">
        <f>'1999 alfalfa growth'!L119</f>
        <v>2.5207809122695486</v>
      </c>
    </row>
    <row r="77" spans="24:33" x14ac:dyDescent="0.2">
      <c r="X77">
        <v>187</v>
      </c>
      <c r="AB77">
        <f>'1999 alfalfa growth'!L120</f>
        <v>3.1792002843326883</v>
      </c>
    </row>
    <row r="78" spans="24:33" x14ac:dyDescent="0.2">
      <c r="X78">
        <v>187</v>
      </c>
      <c r="AB78">
        <f>'1999 alfalfa growth'!L121</f>
        <v>2.4616006755700321</v>
      </c>
    </row>
    <row r="98" spans="24:33" x14ac:dyDescent="0.2">
      <c r="X98" t="s">
        <v>5</v>
      </c>
    </row>
    <row r="99" spans="24:33" x14ac:dyDescent="0.2">
      <c r="X99" t="s">
        <v>1</v>
      </c>
      <c r="AD99" t="s">
        <v>18</v>
      </c>
    </row>
    <row r="100" spans="24:33" x14ac:dyDescent="0.2">
      <c r="X100" t="s">
        <v>3</v>
      </c>
      <c r="Y100" t="s">
        <v>12</v>
      </c>
      <c r="Z100" t="s">
        <v>6</v>
      </c>
      <c r="AA100" t="s">
        <v>13</v>
      </c>
      <c r="AB100" t="s">
        <v>7</v>
      </c>
      <c r="AD100" t="s">
        <v>12</v>
      </c>
      <c r="AE100" t="s">
        <v>6</v>
      </c>
      <c r="AF100" t="s">
        <v>13</v>
      </c>
      <c r="AG100" t="s">
        <v>7</v>
      </c>
    </row>
    <row r="101" spans="24:33" x14ac:dyDescent="0.2">
      <c r="X101">
        <v>188</v>
      </c>
      <c r="Y101">
        <v>0</v>
      </c>
      <c r="Z101">
        <v>0</v>
      </c>
      <c r="AA101">
        <v>0</v>
      </c>
      <c r="AB101">
        <v>0</v>
      </c>
    </row>
    <row r="102" spans="24:33" x14ac:dyDescent="0.2">
      <c r="X102">
        <v>200</v>
      </c>
      <c r="Y102">
        <f>'1999 alfalfa growth'!L38</f>
        <v>1.7108937075471697</v>
      </c>
      <c r="AD102">
        <f>+'1999 alfalfa growth'!D38</f>
        <v>33.799999999999997</v>
      </c>
    </row>
    <row r="103" spans="24:33" x14ac:dyDescent="0.2">
      <c r="X103">
        <v>200</v>
      </c>
      <c r="Y103">
        <f>'1999 alfalfa growth'!L39</f>
        <v>1.5044714941451991</v>
      </c>
      <c r="AD103">
        <f>+'1999 alfalfa growth'!D39</f>
        <v>32.4</v>
      </c>
    </row>
    <row r="104" spans="24:33" x14ac:dyDescent="0.2">
      <c r="X104">
        <v>200</v>
      </c>
      <c r="Y104">
        <f>'1999 alfalfa growth'!L40</f>
        <v>1.4414896551724139</v>
      </c>
      <c r="AD104">
        <f>+'1999 alfalfa growth'!D40</f>
        <v>32.799999999999997</v>
      </c>
    </row>
    <row r="105" spans="24:33" x14ac:dyDescent="0.2">
      <c r="X105">
        <v>200</v>
      </c>
      <c r="Y105">
        <f>'1999 alfalfa growth'!L41</f>
        <v>1.3135567041884817</v>
      </c>
      <c r="AD105">
        <f>+'1999 alfalfa growth'!D41</f>
        <v>30.2</v>
      </c>
      <c r="AF105">
        <f>+'1999 alfalfa growth'!D42</f>
        <v>36</v>
      </c>
    </row>
    <row r="106" spans="24:33" x14ac:dyDescent="0.2">
      <c r="X106">
        <v>200</v>
      </c>
      <c r="Z106">
        <f>'1999 alfalfa growth'!L43</f>
        <v>1.9899738983050848</v>
      </c>
      <c r="AE106">
        <f>+'1999 alfalfa growth'!D43</f>
        <v>33.799999999999997</v>
      </c>
    </row>
    <row r="107" spans="24:33" x14ac:dyDescent="0.2">
      <c r="X107">
        <v>200</v>
      </c>
      <c r="Z107">
        <f>'1999 alfalfa growth'!L44</f>
        <v>1.8317012629757785</v>
      </c>
      <c r="AE107">
        <f>+'1999 alfalfa growth'!D44</f>
        <v>31.6</v>
      </c>
    </row>
    <row r="108" spans="24:33" x14ac:dyDescent="0.2">
      <c r="X108">
        <v>200</v>
      </c>
      <c r="Z108">
        <f>'1999 alfalfa growth'!L45</f>
        <v>1.7236874276243093</v>
      </c>
      <c r="AE108">
        <f>+'1999 alfalfa growth'!D45</f>
        <v>33.799999999999997</v>
      </c>
    </row>
    <row r="109" spans="24:33" x14ac:dyDescent="0.2">
      <c r="X109">
        <v>200</v>
      </c>
      <c r="Z109">
        <f>'1999 alfalfa growth'!L46</f>
        <v>1.8548728522336768</v>
      </c>
      <c r="AE109">
        <f>+'1999 alfalfa growth'!D46</f>
        <v>33.4</v>
      </c>
      <c r="AG109">
        <f>+'1999 alfalfa growth'!D47</f>
        <v>36.6</v>
      </c>
    </row>
    <row r="110" spans="24:33" x14ac:dyDescent="0.2">
      <c r="X110">
        <v>209</v>
      </c>
      <c r="Y110">
        <f>'1999 alfalfa growth'!L48</f>
        <v>3.7585263119556616</v>
      </c>
      <c r="AD110">
        <f>+'1999 alfalfa growth'!D48</f>
        <v>67</v>
      </c>
    </row>
    <row r="111" spans="24:33" x14ac:dyDescent="0.2">
      <c r="X111">
        <v>209</v>
      </c>
      <c r="Y111">
        <f>'1999 alfalfa growth'!L49</f>
        <v>3.6716128740157479</v>
      </c>
      <c r="AD111">
        <f>+'1999 alfalfa growth'!D49</f>
        <v>62.8</v>
      </c>
    </row>
    <row r="112" spans="24:33" x14ac:dyDescent="0.2">
      <c r="X112">
        <v>209</v>
      </c>
      <c r="Y112">
        <f>'1999 alfalfa growth'!L50</f>
        <v>3.4608230910518052</v>
      </c>
      <c r="AD112">
        <f>+'1999 alfalfa growth'!D50</f>
        <v>56</v>
      </c>
    </row>
    <row r="113" spans="24:34" x14ac:dyDescent="0.2">
      <c r="X113">
        <v>209</v>
      </c>
      <c r="Y113">
        <f>'1999 alfalfa growth'!L51</f>
        <v>3.5016596268656714</v>
      </c>
      <c r="AD113">
        <f>+'1999 alfalfa growth'!D51</f>
        <v>64.2</v>
      </c>
      <c r="AF113">
        <f>+'1999 alfalfa growth'!D52</f>
        <v>67</v>
      </c>
    </row>
    <row r="114" spans="24:34" x14ac:dyDescent="0.2">
      <c r="X114">
        <v>209</v>
      </c>
      <c r="Z114">
        <f>'1999 alfalfa growth'!L53</f>
        <v>3.6393504098746083</v>
      </c>
      <c r="AE114">
        <f>+'1999 alfalfa growth'!D53</f>
        <v>60.4</v>
      </c>
    </row>
    <row r="115" spans="24:34" x14ac:dyDescent="0.2">
      <c r="X115">
        <v>209</v>
      </c>
      <c r="Z115">
        <f>'1999 alfalfa growth'!L54</f>
        <v>3.694377767772512</v>
      </c>
      <c r="AE115">
        <f>+'1999 alfalfa growth'!D54</f>
        <v>64.599999999999994</v>
      </c>
    </row>
    <row r="116" spans="24:34" x14ac:dyDescent="0.2">
      <c r="X116">
        <v>209</v>
      </c>
      <c r="Z116">
        <f>'1999 alfalfa growth'!L55</f>
        <v>2.8429799232000001</v>
      </c>
      <c r="AE116">
        <f>+'1999 alfalfa growth'!D55</f>
        <v>58.8</v>
      </c>
    </row>
    <row r="117" spans="24:34" x14ac:dyDescent="0.2">
      <c r="X117">
        <v>209</v>
      </c>
      <c r="Z117">
        <f>'1999 alfalfa growth'!L56</f>
        <v>3.5077284549800796</v>
      </c>
      <c r="AE117">
        <f>+'1999 alfalfa growth'!D56</f>
        <v>61.4</v>
      </c>
      <c r="AG117">
        <f>+'1999 alfalfa growth'!D57</f>
        <v>66</v>
      </c>
    </row>
    <row r="118" spans="24:34" x14ac:dyDescent="0.2">
      <c r="X118">
        <v>224</v>
      </c>
      <c r="Y118">
        <f>'1999 alfalfa growth'!L58</f>
        <v>3.1812930800000001</v>
      </c>
      <c r="AD118">
        <f>+'1999 alfalfa growth'!D58</f>
        <v>50</v>
      </c>
      <c r="AH118" t="s">
        <v>19</v>
      </c>
    </row>
    <row r="119" spans="24:34" x14ac:dyDescent="0.2">
      <c r="X119">
        <v>224</v>
      </c>
      <c r="Y119">
        <f>'1999 alfalfa growth'!L59</f>
        <v>3.48496944</v>
      </c>
      <c r="AD119">
        <f>+'1999 alfalfa growth'!D59</f>
        <v>65</v>
      </c>
      <c r="AH119" t="s">
        <v>19</v>
      </c>
    </row>
    <row r="120" spans="24:34" x14ac:dyDescent="0.2">
      <c r="X120">
        <v>224</v>
      </c>
      <c r="Y120">
        <f>'1999 alfalfa growth'!L60</f>
        <v>3.6117507534246571</v>
      </c>
      <c r="AD120">
        <f>+'1999 alfalfa growth'!D60</f>
        <v>50</v>
      </c>
      <c r="AH120" t="s">
        <v>19</v>
      </c>
    </row>
    <row r="121" spans="24:34" x14ac:dyDescent="0.2">
      <c r="X121">
        <v>224</v>
      </c>
      <c r="Y121">
        <f>'1999 alfalfa growth'!L61</f>
        <v>3.0716521216216215</v>
      </c>
      <c r="AD121">
        <f>+'1999 alfalfa growth'!D61</f>
        <v>55</v>
      </c>
      <c r="AF121">
        <f>+'1999 alfalfa growth'!D122</f>
        <v>50</v>
      </c>
      <c r="AH121" t="s">
        <v>19</v>
      </c>
    </row>
    <row r="122" spans="24:34" x14ac:dyDescent="0.2">
      <c r="X122">
        <v>224</v>
      </c>
      <c r="Z122">
        <f>'1999 alfalfa growth'!L62</f>
        <v>4.1948206733333331</v>
      </c>
      <c r="AE122">
        <f>+'1999 alfalfa growth'!D62</f>
        <v>55</v>
      </c>
      <c r="AH122" t="s">
        <v>19</v>
      </c>
    </row>
    <row r="123" spans="24:34" x14ac:dyDescent="0.2">
      <c r="X123">
        <v>224</v>
      </c>
      <c r="Z123">
        <f>'1999 alfalfa growth'!L63</f>
        <v>4.3697540204081635</v>
      </c>
      <c r="AE123">
        <f>+'1999 alfalfa growth'!D63</f>
        <v>45</v>
      </c>
      <c r="AH123" t="s">
        <v>19</v>
      </c>
    </row>
    <row r="124" spans="24:34" x14ac:dyDescent="0.2">
      <c r="X124">
        <v>224</v>
      </c>
      <c r="Z124">
        <f>'1999 alfalfa growth'!L64</f>
        <v>3.4533591946308722</v>
      </c>
      <c r="AE124">
        <f>+'1999 alfalfa growth'!D64</f>
        <v>55</v>
      </c>
      <c r="AH124" t="s">
        <v>19</v>
      </c>
    </row>
    <row r="125" spans="24:34" x14ac:dyDescent="0.2">
      <c r="X125">
        <v>224</v>
      </c>
      <c r="Z125">
        <f>'1999 alfalfa growth'!L65</f>
        <v>3.9543001034482761</v>
      </c>
      <c r="AE125">
        <f>+'1999 alfalfa growth'!D65</f>
        <v>50</v>
      </c>
      <c r="AG125">
        <f>+'1999 alfalfa growth'!D126</f>
        <v>50</v>
      </c>
      <c r="AH125" t="s">
        <v>19</v>
      </c>
    </row>
    <row r="126" spans="24:34" x14ac:dyDescent="0.2">
      <c r="X126">
        <v>224</v>
      </c>
      <c r="AA126">
        <f>'1999 alfalfa growth'!L122</f>
        <v>2.7945887064017656</v>
      </c>
    </row>
    <row r="127" spans="24:34" x14ac:dyDescent="0.2">
      <c r="X127">
        <v>224</v>
      </c>
      <c r="AA127">
        <f>'1999 alfalfa growth'!L123</f>
        <v>2.5732283718820863</v>
      </c>
    </row>
    <row r="128" spans="24:34" x14ac:dyDescent="0.2">
      <c r="X128">
        <v>224</v>
      </c>
      <c r="AA128">
        <f>'1999 alfalfa growth'!L124</f>
        <v>2.7160578013245029</v>
      </c>
    </row>
    <row r="129" spans="24:28" x14ac:dyDescent="0.2">
      <c r="X129">
        <v>224</v>
      </c>
      <c r="AA129">
        <f>'1999 alfalfa growth'!L125</f>
        <v>3.2890372018140592</v>
      </c>
    </row>
    <row r="130" spans="24:28" x14ac:dyDescent="0.2">
      <c r="X130">
        <v>224</v>
      </c>
      <c r="AB130">
        <f>'1999 alfalfa growth'!L126</f>
        <v>2.7281983873873878</v>
      </c>
    </row>
    <row r="131" spans="24:28" x14ac:dyDescent="0.2">
      <c r="X131">
        <v>224</v>
      </c>
      <c r="AB131">
        <f>'1999 alfalfa growth'!L127</f>
        <v>2.8750011552511419</v>
      </c>
    </row>
    <row r="132" spans="24:28" x14ac:dyDescent="0.2">
      <c r="X132">
        <v>224</v>
      </c>
      <c r="AB132">
        <f>'1999 alfalfa growth'!L128</f>
        <v>2.8055568701298705</v>
      </c>
    </row>
    <row r="133" spans="24:28" x14ac:dyDescent="0.2">
      <c r="X133">
        <v>224</v>
      </c>
      <c r="AB133">
        <f>'1999 alfalfa growth'!L129</f>
        <v>3.3778346931567325</v>
      </c>
    </row>
    <row r="180" spans="24:33" x14ac:dyDescent="0.2">
      <c r="X180" t="s">
        <v>5</v>
      </c>
    </row>
    <row r="181" spans="24:33" x14ac:dyDescent="0.2">
      <c r="X181" t="s">
        <v>2</v>
      </c>
      <c r="AD181" t="s">
        <v>18</v>
      </c>
    </row>
    <row r="182" spans="24:33" x14ac:dyDescent="0.2">
      <c r="X182" t="s">
        <v>3</v>
      </c>
      <c r="Y182" t="s">
        <v>12</v>
      </c>
      <c r="Z182" t="s">
        <v>6</v>
      </c>
      <c r="AA182" t="s">
        <v>13</v>
      </c>
      <c r="AB182" t="s">
        <v>7</v>
      </c>
      <c r="AD182" t="s">
        <v>12</v>
      </c>
      <c r="AE182" t="s">
        <v>6</v>
      </c>
      <c r="AF182" t="s">
        <v>13</v>
      </c>
      <c r="AG182" t="s">
        <v>7</v>
      </c>
    </row>
    <row r="183" spans="24:33" x14ac:dyDescent="0.2">
      <c r="X183">
        <v>225</v>
      </c>
      <c r="Y183">
        <v>0</v>
      </c>
      <c r="Z183">
        <v>0</v>
      </c>
      <c r="AA183">
        <v>0</v>
      </c>
      <c r="AB183">
        <v>0</v>
      </c>
    </row>
    <row r="184" spans="24:33" x14ac:dyDescent="0.2">
      <c r="X184">
        <v>237</v>
      </c>
      <c r="Y184">
        <f>'1999 alfalfa growth'!L66</f>
        <v>1.0466474412171509</v>
      </c>
      <c r="AD184">
        <f>+'1999 alfalfa growth'!D66</f>
        <v>26.4</v>
      </c>
    </row>
    <row r="185" spans="24:33" x14ac:dyDescent="0.2">
      <c r="X185">
        <v>237</v>
      </c>
      <c r="Y185">
        <f>'1999 alfalfa growth'!L67</f>
        <v>1.5175964673913045</v>
      </c>
      <c r="AD185">
        <f>+'1999 alfalfa growth'!D67</f>
        <v>32.4</v>
      </c>
    </row>
    <row r="186" spans="24:33" x14ac:dyDescent="0.2">
      <c r="X186">
        <v>237</v>
      </c>
      <c r="Y186">
        <f>'1999 alfalfa growth'!L68</f>
        <v>1.4155824489795918</v>
      </c>
      <c r="AD186">
        <f>+'1999 alfalfa growth'!D68</f>
        <v>26.8</v>
      </c>
    </row>
    <row r="187" spans="24:33" x14ac:dyDescent="0.2">
      <c r="X187">
        <v>237</v>
      </c>
      <c r="Y187">
        <f>'1999 alfalfa growth'!L69</f>
        <v>1.7121155680224405</v>
      </c>
      <c r="AD187">
        <f>+'1999 alfalfa growth'!D69</f>
        <v>30.2</v>
      </c>
      <c r="AF187">
        <f>+'1999 alfalfa growth'!D70</f>
        <v>33</v>
      </c>
    </row>
    <row r="188" spans="24:33" x14ac:dyDescent="0.2">
      <c r="X188">
        <v>237</v>
      </c>
      <c r="Z188">
        <f>'1999 alfalfa growth'!L71</f>
        <v>1.7413428251057828</v>
      </c>
      <c r="AE188">
        <f>+'1999 alfalfa growth'!D71</f>
        <v>31</v>
      </c>
    </row>
    <row r="189" spans="24:33" x14ac:dyDescent="0.2">
      <c r="X189">
        <v>237</v>
      </c>
      <c r="Z189">
        <f>'1999 alfalfa growth'!L72</f>
        <v>1.0796200848656294</v>
      </c>
      <c r="AE189">
        <f>+'1999 alfalfa growth'!D72</f>
        <v>26.2</v>
      </c>
    </row>
    <row r="190" spans="24:33" x14ac:dyDescent="0.2">
      <c r="X190">
        <v>237</v>
      </c>
      <c r="Z190">
        <f>'1999 alfalfa growth'!L73</f>
        <v>1.2113572433192688</v>
      </c>
      <c r="AE190">
        <f>+'1999 alfalfa growth'!D73</f>
        <v>26.8</v>
      </c>
    </row>
    <row r="191" spans="24:33" x14ac:dyDescent="0.2">
      <c r="X191">
        <v>237</v>
      </c>
      <c r="Z191">
        <f>'1999 alfalfa growth'!L74</f>
        <v>1.4907736770691995</v>
      </c>
      <c r="AE191">
        <f>+'1999 alfalfa growth'!D74</f>
        <v>31.4</v>
      </c>
      <c r="AG191">
        <f>+'1999 alfalfa growth'!D75</f>
        <v>28.4</v>
      </c>
    </row>
    <row r="192" spans="24:33" x14ac:dyDescent="0.2">
      <c r="X192">
        <v>251</v>
      </c>
      <c r="Y192">
        <f>'1999 alfalfa growth'!L76</f>
        <v>3.0155569845094661</v>
      </c>
      <c r="AD192">
        <f>+'1999 alfalfa growth'!D76</f>
        <v>43.8</v>
      </c>
    </row>
    <row r="193" spans="24:33" x14ac:dyDescent="0.2">
      <c r="X193">
        <v>251</v>
      </c>
      <c r="Y193">
        <f>'1999 alfalfa growth'!L77</f>
        <v>2.8944674999999997</v>
      </c>
      <c r="AD193">
        <f>+'1999 alfalfa growth'!D77</f>
        <v>49.6</v>
      </c>
    </row>
    <row r="194" spans="24:33" x14ac:dyDescent="0.2">
      <c r="X194">
        <v>251</v>
      </c>
      <c r="Y194">
        <f>'1999 alfalfa growth'!L78</f>
        <v>3.4366336825141022</v>
      </c>
      <c r="AD194">
        <f>+'1999 alfalfa growth'!D78</f>
        <v>48.2</v>
      </c>
    </row>
    <row r="195" spans="24:33" x14ac:dyDescent="0.2">
      <c r="X195">
        <v>251</v>
      </c>
      <c r="Y195">
        <f>'1999 alfalfa growth'!L79</f>
        <v>3.4008555118110233</v>
      </c>
      <c r="AD195">
        <f>+'1999 alfalfa growth'!D79</f>
        <v>56</v>
      </c>
      <c r="AF195">
        <f>+'1999 alfalfa growth'!D80</f>
        <v>56.8</v>
      </c>
    </row>
    <row r="196" spans="24:33" x14ac:dyDescent="0.2">
      <c r="X196">
        <v>251</v>
      </c>
      <c r="Z196">
        <f>'1999 alfalfa growth'!L81</f>
        <v>3.9934224151539071</v>
      </c>
      <c r="AE196">
        <f>+'1999 alfalfa growth'!D81</f>
        <v>60.4</v>
      </c>
    </row>
    <row r="197" spans="24:33" x14ac:dyDescent="0.2">
      <c r="X197">
        <v>251</v>
      </c>
      <c r="Z197">
        <f>'1999 alfalfa growth'!L82</f>
        <v>4.0971085139318895</v>
      </c>
      <c r="AE197">
        <f>+'1999 alfalfa growth'!D82</f>
        <v>63.8</v>
      </c>
    </row>
    <row r="198" spans="24:33" x14ac:dyDescent="0.2">
      <c r="X198">
        <v>251</v>
      </c>
      <c r="Z198">
        <f>'1999 alfalfa growth'!L83</f>
        <v>4.1167541925465834</v>
      </c>
      <c r="AE198">
        <f>+'1999 alfalfa growth'!D83</f>
        <v>58</v>
      </c>
    </row>
    <row r="199" spans="24:33" x14ac:dyDescent="0.2">
      <c r="X199">
        <v>251</v>
      </c>
      <c r="Z199">
        <f>'1999 alfalfa growth'!L84</f>
        <v>5.2622000788022056</v>
      </c>
      <c r="AE199">
        <f>+'1999 alfalfa growth'!D84</f>
        <v>58.8</v>
      </c>
      <c r="AG199">
        <f>+'1999 alfalfa growth'!D85</f>
        <v>56.2</v>
      </c>
    </row>
    <row r="200" spans="24:33" x14ac:dyDescent="0.2">
      <c r="X200">
        <v>265</v>
      </c>
      <c r="Y200">
        <f>'1999 alfalfa growth'!L86</f>
        <v>3.3241249336870022</v>
      </c>
      <c r="AD200">
        <f>+'1999 alfalfa growth'!D86</f>
        <v>54</v>
      </c>
    </row>
    <row r="201" spans="24:33" x14ac:dyDescent="0.2">
      <c r="X201">
        <v>265</v>
      </c>
      <c r="Y201">
        <f>'1999 alfalfa growth'!L87</f>
        <v>3.5219254980079686</v>
      </c>
      <c r="AD201">
        <f>+'1999 alfalfa growth'!D87</f>
        <v>55.2</v>
      </c>
    </row>
    <row r="202" spans="24:33" x14ac:dyDescent="0.2">
      <c r="X202">
        <v>265</v>
      </c>
      <c r="Y202">
        <f>'1999 alfalfa growth'!L88</f>
        <v>3.6101842876165122</v>
      </c>
      <c r="AD202">
        <f>+'1999 alfalfa growth'!D88</f>
        <v>57.8</v>
      </c>
    </row>
    <row r="203" spans="24:33" x14ac:dyDescent="0.2">
      <c r="X203">
        <v>265</v>
      </c>
      <c r="Y203">
        <f>'1999 alfalfa growth'!L89</f>
        <v>3.5418757133377579</v>
      </c>
      <c r="AD203">
        <f>+'1999 alfalfa growth'!D89</f>
        <v>59.2</v>
      </c>
      <c r="AF203">
        <f>+'1999 alfalfa growth'!D90</f>
        <v>60.4</v>
      </c>
    </row>
    <row r="204" spans="24:33" x14ac:dyDescent="0.2">
      <c r="X204">
        <v>265</v>
      </c>
      <c r="Z204">
        <f>'1999 alfalfa growth'!L91</f>
        <v>4.3059069953364428</v>
      </c>
      <c r="AE204">
        <f>+'1999 alfalfa growth'!D91</f>
        <v>67.599999999999994</v>
      </c>
    </row>
    <row r="205" spans="24:33" x14ac:dyDescent="0.2">
      <c r="X205">
        <v>265</v>
      </c>
      <c r="Z205">
        <f>'1999 alfalfa growth'!L92</f>
        <v>4.8028237433862433</v>
      </c>
      <c r="AE205">
        <f>+'1999 alfalfa growth'!D92</f>
        <v>63.8</v>
      </c>
    </row>
    <row r="206" spans="24:33" x14ac:dyDescent="0.2">
      <c r="X206">
        <v>265</v>
      </c>
      <c r="Z206">
        <f>'1999 alfalfa growth'!L93</f>
        <v>3.7623323005932767</v>
      </c>
      <c r="AE206">
        <f>+'1999 alfalfa growth'!D93</f>
        <v>59.2</v>
      </c>
    </row>
    <row r="207" spans="24:33" x14ac:dyDescent="0.2">
      <c r="X207">
        <v>265</v>
      </c>
      <c r="Z207">
        <f>'1999 alfalfa growth'!L94</f>
        <v>4.0249607999999997</v>
      </c>
      <c r="AE207">
        <f>+'1999 alfalfa growth'!D94</f>
        <v>65</v>
      </c>
      <c r="AG207">
        <f>+'1999 alfalfa growth'!D95</f>
        <v>61.6</v>
      </c>
    </row>
    <row r="208" spans="24:33" x14ac:dyDescent="0.2">
      <c r="X208">
        <v>277</v>
      </c>
      <c r="Y208">
        <f>'1999 alfalfa growth'!L96</f>
        <v>3.1357433887043191</v>
      </c>
      <c r="AD208">
        <f>+'1999 alfalfa growth'!D96</f>
        <v>52</v>
      </c>
    </row>
    <row r="209" spans="24:33" x14ac:dyDescent="0.2">
      <c r="X209">
        <v>277</v>
      </c>
      <c r="Y209">
        <f>'1999 alfalfa growth'!L97</f>
        <v>3.2287282321899737</v>
      </c>
      <c r="AD209">
        <f>+'1999 alfalfa growth'!D97</f>
        <v>56.2</v>
      </c>
    </row>
    <row r="210" spans="24:33" x14ac:dyDescent="0.2">
      <c r="X210">
        <v>277</v>
      </c>
      <c r="Y210">
        <f>'1999 alfalfa growth'!L98</f>
        <v>3.2281894876912838</v>
      </c>
      <c r="AD210">
        <f>+'1999 alfalfa growth'!D98</f>
        <v>55.8</v>
      </c>
    </row>
    <row r="211" spans="24:33" x14ac:dyDescent="0.2">
      <c r="X211">
        <v>277</v>
      </c>
      <c r="Y211">
        <f>'1999 alfalfa growth'!L99</f>
        <v>2.9032429795649306</v>
      </c>
      <c r="AD211">
        <f>+'1999 alfalfa growth'!D99</f>
        <v>58.4</v>
      </c>
      <c r="AF211">
        <f>+'1999 alfalfa growth'!D100</f>
        <v>61.8</v>
      </c>
    </row>
    <row r="212" spans="24:33" x14ac:dyDescent="0.2">
      <c r="X212">
        <v>277</v>
      </c>
      <c r="Z212">
        <f>'1999 alfalfa growth'!L101</f>
        <v>4.0708154050464804</v>
      </c>
      <c r="AE212">
        <f>+'1999 alfalfa growth'!D101</f>
        <v>60</v>
      </c>
    </row>
    <row r="213" spans="24:33" x14ac:dyDescent="0.2">
      <c r="X213">
        <v>277</v>
      </c>
      <c r="Z213">
        <f>'1999 alfalfa growth'!L102</f>
        <v>3.977525357607282</v>
      </c>
      <c r="AE213">
        <f>+'1999 alfalfa growth'!D102</f>
        <v>65</v>
      </c>
    </row>
    <row r="214" spans="24:33" x14ac:dyDescent="0.2">
      <c r="X214">
        <v>277</v>
      </c>
      <c r="Z214">
        <f>'1999 alfalfa growth'!L103</f>
        <v>4.124360196078432</v>
      </c>
      <c r="AE214">
        <f>+'1999 alfalfa growth'!D103</f>
        <v>60</v>
      </c>
    </row>
    <row r="215" spans="24:33" x14ac:dyDescent="0.2">
      <c r="X215">
        <v>277</v>
      </c>
      <c r="Z215">
        <f>'1999 alfalfa growth'!L104</f>
        <v>4.5812622841965469</v>
      </c>
      <c r="AE215">
        <f>+'1999 alfalfa growth'!D104</f>
        <v>60</v>
      </c>
      <c r="AG215">
        <f>+'1999 alfalfa growth'!D105</f>
        <v>55</v>
      </c>
    </row>
    <row r="216" spans="24:33" x14ac:dyDescent="0.2">
      <c r="X216">
        <v>278</v>
      </c>
      <c r="AA216">
        <f>'1999 alfalfa growth'!L130</f>
        <v>3.1601978086624016</v>
      </c>
    </row>
    <row r="217" spans="24:33" x14ac:dyDescent="0.2">
      <c r="X217">
        <v>278</v>
      </c>
      <c r="AA217">
        <f>'1999 alfalfa growth'!L131</f>
        <v>2.8861268585658832</v>
      </c>
    </row>
    <row r="218" spans="24:33" x14ac:dyDescent="0.2">
      <c r="X218">
        <v>278</v>
      </c>
      <c r="AA218">
        <f>'1999 alfalfa growth'!L132</f>
        <v>3.0487962962962958</v>
      </c>
    </row>
    <row r="219" spans="24:33" x14ac:dyDescent="0.2">
      <c r="X219">
        <v>278</v>
      </c>
      <c r="AA219">
        <f>'1999 alfalfa growth'!L133</f>
        <v>2.8661380225613802</v>
      </c>
      <c r="AF219">
        <f>+'1999 alfalfa growth'!D130</f>
        <v>61.8</v>
      </c>
    </row>
    <row r="220" spans="24:33" x14ac:dyDescent="0.2">
      <c r="X220">
        <v>278</v>
      </c>
      <c r="AB220">
        <f>'1999 alfalfa growth'!L134</f>
        <v>2.9023426597582036</v>
      </c>
    </row>
    <row r="221" spans="24:33" x14ac:dyDescent="0.2">
      <c r="X221">
        <v>278</v>
      </c>
      <c r="AB221">
        <f>'1999 alfalfa growth'!L135</f>
        <v>2.9671646636185502</v>
      </c>
    </row>
    <row r="222" spans="24:33" x14ac:dyDescent="0.2">
      <c r="X222">
        <v>278</v>
      </c>
      <c r="AB222">
        <f>'1999 alfalfa growth'!L136</f>
        <v>2.8292966401414672</v>
      </c>
    </row>
    <row r="223" spans="24:33" x14ac:dyDescent="0.2">
      <c r="X223">
        <v>278</v>
      </c>
      <c r="AB223">
        <f>'1999 alfalfa growth'!L137</f>
        <v>2.7750700617283952</v>
      </c>
      <c r="AG223">
        <f>+'1999 alfalfa growth'!D134</f>
        <v>55</v>
      </c>
    </row>
  </sheetData>
  <phoneticPr fontId="4" type="noConversion"/>
  <pageMargins left="0.75" right="0.75" top="1" bottom="1" header="0.5" footer="0.5"/>
  <headerFooter alignWithMargins="0">
    <oddHeader>&amp;L&amp;"Arial"&amp;10c:\elys\alf99\psalf99.wb3</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1999 alfalfa Introduction</vt:lpstr>
      <vt:lpstr>Dic. 1999 alfalfa growth</vt:lpstr>
      <vt:lpstr>1999 alfalfa growth</vt:lpstr>
      <vt:lpstr>Dic. 1999 alfalfa stem length</vt:lpstr>
      <vt:lpstr>1999 alfalfa stem length</vt:lpstr>
      <vt:lpstr>Dic. 1999 alfalfa yield</vt:lpstr>
      <vt:lpstr>1999 alfalfa yield</vt:lpstr>
      <vt:lpstr>Graphs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Evett, Steve - ARS</dc:creator>
  <cp:lastModifiedBy>Evett, Steve</cp:lastModifiedBy>
  <dcterms:created xsi:type="dcterms:W3CDTF">2021-05-05T14:02:02Z</dcterms:created>
  <dcterms:modified xsi:type="dcterms:W3CDTF">2022-04-08T18:22:44Z</dcterms:modified>
</cp:coreProperties>
</file>