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WPDOCS\RES\Lysimeters\Final\Ag_Data_Commons\Alfalfa\"/>
    </mc:Choice>
  </mc:AlternateContent>
  <xr:revisionPtr revIDLastSave="0" documentId="13_ncr:1_{814BABCB-8423-4E16-B27F-B81A1149C47F}" xr6:coauthVersionLast="47" xr6:coauthVersionMax="47" xr10:uidLastSave="{00000000-0000-0000-0000-000000000000}"/>
  <bookViews>
    <workbookView xWindow="-120" yWindow="-120" windowWidth="29040" windowHeight="15225" tabRatio="875" xr2:uid="{00000000-000D-0000-FFFF-FFFF00000000}"/>
  </bookViews>
  <sheets>
    <sheet name="1996 alfalfa Introduction" sheetId="4" r:id="rId1"/>
    <sheet name="Dic. 1996 alfalfa growth" sheetId="5" r:id="rId2"/>
    <sheet name="1996 alfalfa growth" sheetId="1" r:id="rId3"/>
    <sheet name="Dic. 1996 alfalfa yield" sheetId="6" r:id="rId4"/>
    <sheet name="1996 alfalfa yield" sheetId="7" r:id="rId5"/>
    <sheet name="1996 alfalfa graphing" sheetId="2"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1" i="7" l="1"/>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6" i="7"/>
  <c r="A5" i="7"/>
  <c r="A4" i="7"/>
  <c r="A3" i="7"/>
  <c r="A2" i="7"/>
  <c r="I41" i="7"/>
  <c r="I40" i="7"/>
  <c r="I39" i="7"/>
  <c r="I38" i="7"/>
  <c r="I37" i="7"/>
  <c r="I36" i="7"/>
  <c r="I35" i="7"/>
  <c r="I34" i="7"/>
  <c r="I33" i="7"/>
  <c r="I32" i="7"/>
  <c r="I31" i="7"/>
  <c r="I30" i="7"/>
  <c r="I29" i="7"/>
  <c r="I28" i="7"/>
  <c r="I27" i="7"/>
  <c r="I26" i="7"/>
  <c r="I25" i="7"/>
  <c r="I24" i="7"/>
  <c r="I23" i="7"/>
  <c r="I22" i="7"/>
  <c r="I21" i="7"/>
  <c r="I20" i="7"/>
  <c r="I19" i="7"/>
  <c r="I18" i="7"/>
  <c r="I17" i="7"/>
  <c r="I16" i="7"/>
  <c r="I15" i="7"/>
  <c r="I14" i="7"/>
  <c r="I13" i="7"/>
  <c r="I12" i="7"/>
  <c r="I11" i="7"/>
  <c r="I10" i="7"/>
  <c r="I9" i="7"/>
  <c r="I8" i="7"/>
  <c r="I7" i="7"/>
  <c r="I6" i="7"/>
  <c r="I5" i="7"/>
  <c r="I4" i="7"/>
  <c r="I3" i="7"/>
  <c r="I2" i="7"/>
  <c r="L98" i="1"/>
  <c r="L99" i="1"/>
  <c r="L2" i="1"/>
  <c r="K98" i="1" l="1"/>
  <c r="L56" i="1"/>
  <c r="BL301" i="2" l="1"/>
  <c r="BL300" i="2"/>
  <c r="BL299" i="2"/>
  <c r="BL298" i="2"/>
  <c r="BL297" i="2"/>
  <c r="BL296" i="2"/>
  <c r="BL295" i="2"/>
  <c r="BL294" i="2"/>
  <c r="BL293" i="2"/>
  <c r="BL292" i="2"/>
  <c r="BL291" i="2"/>
  <c r="BL290" i="2"/>
  <c r="BL289" i="2"/>
  <c r="BL288" i="2"/>
  <c r="BL287" i="2"/>
  <c r="BL286" i="2"/>
  <c r="BL285" i="2"/>
  <c r="BL284" i="2"/>
  <c r="BL283" i="2"/>
  <c r="BL282" i="2"/>
  <c r="BL281" i="2"/>
  <c r="BL280" i="2"/>
  <c r="AK271" i="2"/>
  <c r="AA271" i="2"/>
  <c r="AK270" i="2"/>
  <c r="AA270" i="2"/>
  <c r="AK269" i="2"/>
  <c r="AA269" i="2"/>
  <c r="AK268" i="2"/>
  <c r="AA268" i="2"/>
  <c r="AK267" i="2"/>
  <c r="AA267" i="2"/>
  <c r="AK266" i="2"/>
  <c r="AA266" i="2"/>
  <c r="AK265" i="2"/>
  <c r="AA265" i="2"/>
  <c r="AK264" i="2"/>
  <c r="AA264" i="2"/>
  <c r="AK263" i="2"/>
  <c r="AA263" i="2"/>
  <c r="AK262" i="2"/>
  <c r="AA262" i="2"/>
  <c r="AK261" i="2"/>
  <c r="AA261" i="2"/>
  <c r="AK260" i="2"/>
  <c r="AA260" i="2"/>
  <c r="AK259" i="2"/>
  <c r="AA259" i="2"/>
  <c r="AK258" i="2"/>
  <c r="AA258" i="2"/>
  <c r="AK257" i="2"/>
  <c r="AA257" i="2"/>
  <c r="AK256" i="2"/>
  <c r="AA256" i="2"/>
  <c r="AK255" i="2"/>
  <c r="AA255" i="2"/>
  <c r="AK254" i="2"/>
  <c r="AA254" i="2"/>
  <c r="AK253" i="2"/>
  <c r="AA253" i="2"/>
  <c r="AK252" i="2"/>
  <c r="AA252" i="2"/>
  <c r="AK251" i="2"/>
  <c r="AA251" i="2"/>
  <c r="AK250" i="2"/>
  <c r="AA250" i="2"/>
  <c r="AK249" i="2"/>
  <c r="AA249" i="2"/>
  <c r="AK248" i="2"/>
  <c r="AA248" i="2"/>
  <c r="AK247" i="2"/>
  <c r="AA247" i="2"/>
  <c r="AK246" i="2"/>
  <c r="AA246" i="2"/>
  <c r="AK245" i="2"/>
  <c r="AA245" i="2"/>
  <c r="AK244" i="2"/>
  <c r="AA244" i="2"/>
  <c r="AK243" i="2"/>
  <c r="AA243" i="2"/>
  <c r="AK242" i="2"/>
  <c r="AA242" i="2"/>
  <c r="AK241" i="2"/>
  <c r="AA241" i="2"/>
  <c r="AK240" i="2"/>
  <c r="AA240" i="2"/>
  <c r="AK239" i="2"/>
  <c r="AA239" i="2"/>
  <c r="AK238" i="2"/>
  <c r="AA238" i="2"/>
  <c r="AK237" i="2"/>
  <c r="AA237" i="2"/>
  <c r="AK236" i="2"/>
  <c r="AA236" i="2"/>
  <c r="AK235" i="2"/>
  <c r="AA235" i="2"/>
  <c r="AK234" i="2"/>
  <c r="AA234" i="2"/>
  <c r="AK233" i="2"/>
  <c r="AA233" i="2"/>
  <c r="AK232" i="2"/>
  <c r="AA232" i="2"/>
  <c r="AK231" i="2"/>
  <c r="AA231" i="2"/>
  <c r="AK230" i="2"/>
  <c r="AA230" i="2"/>
  <c r="AK229" i="2"/>
  <c r="AA229" i="2"/>
  <c r="AK228" i="2"/>
  <c r="AA228" i="2"/>
  <c r="AK227" i="2"/>
  <c r="AA227" i="2"/>
  <c r="AK226" i="2"/>
  <c r="AA226" i="2"/>
  <c r="AK225" i="2"/>
  <c r="AA225" i="2"/>
  <c r="AK224" i="2"/>
  <c r="AA224" i="2"/>
  <c r="AK223" i="2"/>
  <c r="AA223" i="2"/>
  <c r="AK222" i="2"/>
  <c r="AA222" i="2"/>
  <c r="AK221" i="2"/>
  <c r="AA221" i="2"/>
  <c r="AK220" i="2"/>
  <c r="AA220" i="2"/>
  <c r="AK219" i="2"/>
  <c r="AA219" i="2"/>
  <c r="AK218" i="2"/>
  <c r="AA218" i="2"/>
  <c r="AK217" i="2"/>
  <c r="AA217" i="2"/>
  <c r="AK216" i="2"/>
  <c r="AA216" i="2"/>
  <c r="AK215" i="2"/>
  <c r="AA215" i="2"/>
  <c r="AK214" i="2"/>
  <c r="AA214" i="2"/>
  <c r="AK213" i="2"/>
  <c r="AA213" i="2"/>
  <c r="AK212" i="2"/>
  <c r="AA212" i="2"/>
  <c r="AK211" i="2"/>
  <c r="AA211" i="2"/>
  <c r="AK210" i="2"/>
  <c r="AA210" i="2"/>
  <c r="AK209" i="2"/>
  <c r="AA209" i="2"/>
  <c r="AK208" i="2"/>
  <c r="AA208" i="2"/>
  <c r="AK207" i="2"/>
  <c r="AA207" i="2"/>
  <c r="AK206" i="2"/>
  <c r="AA206" i="2"/>
  <c r="AK205" i="2"/>
  <c r="AA205" i="2"/>
  <c r="AK204" i="2"/>
  <c r="AA204" i="2"/>
  <c r="AK203" i="2"/>
  <c r="AA203" i="2"/>
  <c r="AK202" i="2"/>
  <c r="AA202" i="2"/>
  <c r="AK201" i="2"/>
  <c r="AA201" i="2"/>
  <c r="AK200" i="2"/>
  <c r="AA200" i="2"/>
  <c r="AK199" i="2"/>
  <c r="AA199" i="2"/>
  <c r="AK198" i="2"/>
  <c r="AA198" i="2"/>
  <c r="AK197" i="2"/>
  <c r="AA197" i="2"/>
  <c r="AK196" i="2"/>
  <c r="AA196" i="2"/>
  <c r="AK195" i="2"/>
  <c r="AA195" i="2"/>
  <c r="AK194" i="2"/>
  <c r="AA194" i="2"/>
  <c r="AK193" i="2"/>
  <c r="AA193" i="2"/>
  <c r="AK192" i="2"/>
  <c r="AA192" i="2"/>
  <c r="AK191" i="2"/>
  <c r="AA191" i="2"/>
  <c r="AK190" i="2"/>
  <c r="AA190" i="2"/>
  <c r="AK189" i="2"/>
  <c r="AA189" i="2"/>
  <c r="AK188" i="2"/>
  <c r="AA188" i="2"/>
  <c r="AK187" i="2"/>
  <c r="AA187" i="2"/>
  <c r="AK186" i="2"/>
  <c r="AA186" i="2"/>
  <c r="AK185" i="2"/>
  <c r="AA185" i="2"/>
  <c r="AK184" i="2"/>
  <c r="AA184" i="2"/>
  <c r="AK183" i="2"/>
  <c r="AA183" i="2"/>
  <c r="AK182" i="2"/>
  <c r="AA182" i="2"/>
  <c r="AK181" i="2"/>
  <c r="AA181" i="2"/>
  <c r="AK180" i="2"/>
  <c r="AA180" i="2"/>
  <c r="AK179" i="2"/>
  <c r="AA179" i="2"/>
  <c r="AK178" i="2"/>
  <c r="AA178" i="2"/>
  <c r="AK177" i="2"/>
  <c r="AA177" i="2"/>
  <c r="AK176" i="2"/>
  <c r="AA176" i="2"/>
  <c r="AK175" i="2"/>
  <c r="AA175" i="2"/>
  <c r="AK174" i="2"/>
  <c r="AA174" i="2"/>
  <c r="AK173" i="2"/>
  <c r="AA173" i="2"/>
  <c r="AK172" i="2"/>
  <c r="AA172" i="2"/>
  <c r="AK171" i="2"/>
  <c r="AA171" i="2"/>
  <c r="AK170" i="2"/>
  <c r="AA170" i="2"/>
  <c r="AK169" i="2"/>
  <c r="AA169" i="2"/>
  <c r="AK168" i="2"/>
  <c r="AA168" i="2"/>
  <c r="AK167" i="2"/>
  <c r="AA167" i="2"/>
  <c r="AK166" i="2"/>
  <c r="AA166" i="2"/>
  <c r="AK165" i="2"/>
  <c r="AA165" i="2"/>
  <c r="AK164" i="2"/>
  <c r="AA164" i="2"/>
  <c r="AK163" i="2"/>
  <c r="AA163" i="2"/>
  <c r="AK162" i="2"/>
  <c r="AA162" i="2"/>
  <c r="AK161" i="2"/>
  <c r="AA161" i="2"/>
  <c r="AK160" i="2"/>
  <c r="AA160" i="2"/>
  <c r="AK159" i="2"/>
  <c r="AA159" i="2"/>
  <c r="AK158" i="2"/>
  <c r="AK157" i="2"/>
  <c r="AK156" i="2"/>
  <c r="AK155" i="2"/>
  <c r="AE155" i="2"/>
  <c r="AK154" i="2"/>
  <c r="AK153" i="2"/>
  <c r="AK152" i="2"/>
  <c r="AK151" i="2"/>
  <c r="AA151" i="2"/>
  <c r="AK150" i="2"/>
  <c r="AA150" i="2"/>
  <c r="AK149" i="2"/>
  <c r="AA149" i="2"/>
  <c r="AK148" i="2"/>
  <c r="AA148" i="2"/>
  <c r="AK147" i="2"/>
  <c r="AA147" i="2"/>
  <c r="AK146" i="2"/>
  <c r="AA146" i="2"/>
  <c r="AK145" i="2"/>
  <c r="AA145" i="2"/>
  <c r="AN144" i="2"/>
  <c r="AK144" i="2"/>
  <c r="AA144" i="2"/>
  <c r="AK143" i="2"/>
  <c r="AA143" i="2"/>
  <c r="AK142" i="2"/>
  <c r="AA142" i="2"/>
  <c r="AK141" i="2"/>
  <c r="AA141" i="2"/>
  <c r="AK140" i="2"/>
  <c r="AA140" i="2"/>
  <c r="AK139" i="2"/>
  <c r="AA139" i="2"/>
  <c r="AK138" i="2"/>
  <c r="AA138" i="2"/>
  <c r="AK137" i="2"/>
  <c r="AA137" i="2"/>
  <c r="AK136" i="2"/>
  <c r="AA136" i="2"/>
  <c r="AN135" i="2"/>
  <c r="AN136" i="2" s="1"/>
  <c r="AN137" i="2" s="1"/>
  <c r="AN138" i="2" s="1"/>
  <c r="AN139" i="2" s="1"/>
  <c r="AN140" i="2" s="1"/>
  <c r="AN141" i="2" s="1"/>
  <c r="AN142" i="2" s="1"/>
  <c r="AN143" i="2" s="1"/>
  <c r="AK135" i="2"/>
  <c r="AA135" i="2"/>
  <c r="AN134" i="2"/>
  <c r="AK134" i="2"/>
  <c r="AA134" i="2"/>
  <c r="AK133" i="2"/>
  <c r="AA133" i="2"/>
  <c r="AK132" i="2"/>
  <c r="AA132" i="2"/>
  <c r="AK131" i="2"/>
  <c r="AA131" i="2"/>
  <c r="AK130" i="2"/>
  <c r="AA130" i="2"/>
  <c r="AK129" i="2"/>
  <c r="AA129" i="2"/>
  <c r="AK128" i="2"/>
  <c r="AA128" i="2"/>
  <c r="AK127" i="2"/>
  <c r="AA127" i="2"/>
  <c r="AK126" i="2"/>
  <c r="AA126" i="2"/>
  <c r="AK125" i="2"/>
  <c r="AA125" i="2"/>
  <c r="AK124" i="2"/>
  <c r="AA124" i="2"/>
  <c r="AK123" i="2"/>
  <c r="AA123" i="2"/>
  <c r="AK122" i="2"/>
  <c r="AA122" i="2"/>
  <c r="AK121" i="2"/>
  <c r="AA121" i="2"/>
  <c r="AK120" i="2"/>
  <c r="AA120" i="2"/>
  <c r="AK119" i="2"/>
  <c r="AA119" i="2"/>
  <c r="AK118" i="2"/>
  <c r="AA118" i="2"/>
  <c r="AK117" i="2"/>
  <c r="AA117" i="2"/>
  <c r="AK116" i="2"/>
  <c r="AA116" i="2"/>
  <c r="AK115" i="2"/>
  <c r="AA115" i="2"/>
  <c r="AK114" i="2"/>
  <c r="AA114" i="2"/>
  <c r="AK113" i="2"/>
  <c r="AA113" i="2"/>
  <c r="AK112" i="2"/>
  <c r="AA112" i="2"/>
  <c r="AK111" i="2"/>
  <c r="AA111" i="2"/>
  <c r="AK110" i="2"/>
  <c r="AA110" i="2"/>
  <c r="AK109" i="2"/>
  <c r="AA109" i="2"/>
  <c r="AK108" i="2"/>
  <c r="AA108" i="2"/>
  <c r="AK107" i="2"/>
  <c r="AA107" i="2"/>
  <c r="AK106" i="2"/>
  <c r="AA106" i="2"/>
  <c r="AK105" i="2"/>
  <c r="AA105" i="2"/>
  <c r="AK104" i="2"/>
  <c r="AA104" i="2"/>
  <c r="AK103" i="2"/>
  <c r="AA103" i="2"/>
  <c r="AK102" i="2"/>
  <c r="AK101" i="2"/>
  <c r="AK100" i="2"/>
  <c r="AK99" i="2"/>
  <c r="AK98" i="2"/>
  <c r="AK97" i="2"/>
  <c r="AK96" i="2"/>
  <c r="AK95" i="2"/>
  <c r="AK94" i="2"/>
  <c r="AA94" i="2"/>
  <c r="AK93" i="2"/>
  <c r="AA93" i="2"/>
  <c r="AK92" i="2"/>
  <c r="AA92" i="2"/>
  <c r="AK91" i="2"/>
  <c r="AA91" i="2"/>
  <c r="AK90" i="2"/>
  <c r="AA90" i="2"/>
  <c r="AK89" i="2"/>
  <c r="AA89" i="2"/>
  <c r="AK88" i="2"/>
  <c r="AA88" i="2"/>
  <c r="AK87" i="2"/>
  <c r="AA87" i="2"/>
  <c r="AK86" i="2"/>
  <c r="AA86" i="2"/>
  <c r="AK85" i="2"/>
  <c r="AA85" i="2"/>
  <c r="AK84" i="2"/>
  <c r="AA84" i="2"/>
  <c r="AK83" i="2"/>
  <c r="AA83" i="2"/>
  <c r="AK82" i="2"/>
  <c r="AA82" i="2"/>
  <c r="AK81" i="2"/>
  <c r="AA81" i="2"/>
  <c r="AK80" i="2"/>
  <c r="AA80" i="2"/>
  <c r="AK79" i="2"/>
  <c r="AA79" i="2"/>
  <c r="AK78" i="2"/>
  <c r="AA78" i="2"/>
  <c r="AK77" i="2"/>
  <c r="AA77" i="2"/>
  <c r="AK76" i="2"/>
  <c r="AA76" i="2"/>
  <c r="AK75" i="2"/>
  <c r="AA75" i="2"/>
  <c r="AK74" i="2"/>
  <c r="AA74" i="2"/>
  <c r="AK73" i="2"/>
  <c r="AA73" i="2"/>
  <c r="AK72" i="2"/>
  <c r="AA72" i="2"/>
  <c r="AK71" i="2"/>
  <c r="AA71" i="2"/>
  <c r="AK70" i="2"/>
  <c r="AA70" i="2"/>
  <c r="AK69" i="2"/>
  <c r="AA69" i="2"/>
  <c r="AK68" i="2"/>
  <c r="AA68" i="2"/>
  <c r="AK67" i="2"/>
  <c r="AA67" i="2"/>
  <c r="AK66" i="2"/>
  <c r="AA66" i="2"/>
  <c r="AK65" i="2"/>
  <c r="AA65" i="2"/>
  <c r="AK64" i="2"/>
  <c r="AA64" i="2"/>
  <c r="AK63" i="2"/>
  <c r="AA63" i="2"/>
  <c r="AK62" i="2"/>
  <c r="AA62" i="2"/>
  <c r="AK61" i="2"/>
  <c r="AA61" i="2"/>
  <c r="AK60" i="2"/>
  <c r="AA60" i="2"/>
  <c r="AK59" i="2"/>
  <c r="AA59" i="2"/>
  <c r="AK58" i="2"/>
  <c r="AA58" i="2"/>
  <c r="AK57" i="2"/>
  <c r="AA57" i="2"/>
  <c r="AK56" i="2"/>
  <c r="AA56" i="2"/>
  <c r="AK55" i="2"/>
  <c r="AA55" i="2"/>
  <c r="AK54" i="2"/>
  <c r="AA54" i="2"/>
  <c r="AK53" i="2"/>
  <c r="AA53" i="2"/>
  <c r="AK52" i="2"/>
  <c r="AA52" i="2"/>
  <c r="AK51" i="2"/>
  <c r="AA51" i="2"/>
  <c r="AK50" i="2"/>
  <c r="AA50" i="2"/>
  <c r="AK49" i="2"/>
  <c r="AA49" i="2"/>
  <c r="AK48" i="2"/>
  <c r="AA48" i="2"/>
  <c r="AK47" i="2"/>
  <c r="AA47" i="2"/>
  <c r="AK46" i="2"/>
  <c r="AA46" i="2"/>
  <c r="AK45" i="2"/>
  <c r="AA45" i="2"/>
  <c r="AK44" i="2"/>
  <c r="AA44" i="2"/>
  <c r="AK43" i="2"/>
  <c r="AA43" i="2"/>
  <c r="AK42" i="2"/>
  <c r="AA42" i="2"/>
  <c r="AK41" i="2"/>
  <c r="AA41" i="2"/>
  <c r="AK40" i="2"/>
  <c r="AA40" i="2"/>
  <c r="AK39" i="2"/>
  <c r="AA39" i="2"/>
  <c r="AK38" i="2"/>
  <c r="AA38" i="2"/>
  <c r="AK37" i="2"/>
  <c r="AA37" i="2"/>
  <c r="AK36" i="2"/>
  <c r="AA36" i="2"/>
  <c r="AK35" i="2"/>
  <c r="AA35" i="2"/>
  <c r="AK34" i="2"/>
  <c r="AA34" i="2"/>
  <c r="AK33" i="2"/>
  <c r="AA33" i="2"/>
  <c r="AK32" i="2"/>
  <c r="AA32" i="2"/>
  <c r="AK31" i="2"/>
  <c r="AA31" i="2"/>
  <c r="AK30" i="2"/>
  <c r="AA30" i="2"/>
  <c r="AK29" i="2"/>
  <c r="AA29" i="2"/>
  <c r="AK28" i="2"/>
  <c r="AA28" i="2"/>
  <c r="AK27" i="2"/>
  <c r="AA27" i="2"/>
  <c r="AK26" i="2"/>
  <c r="AA26" i="2"/>
  <c r="AK25" i="2"/>
  <c r="AA25" i="2"/>
  <c r="AK24" i="2"/>
  <c r="AA24" i="2"/>
  <c r="AK23" i="2"/>
  <c r="AA23" i="2"/>
  <c r="AK22" i="2"/>
  <c r="AA22" i="2"/>
  <c r="Y22" i="2"/>
  <c r="W22" i="2"/>
  <c r="U22" i="2"/>
  <c r="S22" i="2"/>
  <c r="AK21" i="2"/>
  <c r="AA21" i="2"/>
  <c r="AK20" i="2"/>
  <c r="AA20" i="2"/>
  <c r="AK19" i="2"/>
  <c r="AA19" i="2"/>
  <c r="AK18" i="2"/>
  <c r="AA18" i="2"/>
  <c r="Y18" i="2"/>
  <c r="W18" i="2"/>
  <c r="U18" i="2"/>
  <c r="S18" i="2"/>
  <c r="AK17" i="2"/>
  <c r="AA17" i="2"/>
  <c r="AK16" i="2"/>
  <c r="AA16" i="2"/>
  <c r="AK15" i="2"/>
  <c r="AA15" i="2"/>
  <c r="AK14" i="2"/>
  <c r="AA14" i="2"/>
  <c r="AK13" i="2"/>
  <c r="AA13" i="2"/>
  <c r="AK12" i="2"/>
  <c r="AA12" i="2"/>
  <c r="R12" i="2"/>
  <c r="AA102" i="2" s="1"/>
  <c r="AK11" i="2"/>
  <c r="AA11" i="2"/>
  <c r="R11" i="2"/>
  <c r="AA101" i="2" s="1"/>
  <c r="AK10" i="2"/>
  <c r="AA10" i="2"/>
  <c r="R10" i="2"/>
  <c r="AA100" i="2" s="1"/>
  <c r="AK9" i="2"/>
  <c r="AA9" i="2"/>
  <c r="Y9" i="2"/>
  <c r="W9" i="2"/>
  <c r="U9" i="2"/>
  <c r="S9" i="2"/>
  <c r="R9" i="2"/>
  <c r="AA99" i="2" s="1"/>
  <c r="AK8" i="2"/>
  <c r="AA8" i="2"/>
  <c r="X8" i="2"/>
  <c r="V8" i="2"/>
  <c r="T8" i="2"/>
  <c r="AA154" i="2" s="1"/>
  <c r="R8" i="2"/>
  <c r="AA98" i="2" s="1"/>
  <c r="AK7" i="2"/>
  <c r="AA7" i="2"/>
  <c r="X7" i="2"/>
  <c r="V7" i="2"/>
  <c r="T7" i="2"/>
  <c r="AA153" i="2" s="1"/>
  <c r="R7" i="2"/>
  <c r="AA97" i="2" s="1"/>
  <c r="AK6" i="2"/>
  <c r="AA6" i="2"/>
  <c r="X6" i="2"/>
  <c r="V6" i="2"/>
  <c r="T6" i="2"/>
  <c r="AA152" i="2" s="1"/>
  <c r="R6" i="2"/>
  <c r="AA96" i="2" s="1"/>
  <c r="AK5" i="2"/>
  <c r="AA5" i="2"/>
  <c r="Y5" i="2"/>
  <c r="X5" i="2"/>
  <c r="W5" i="2"/>
  <c r="V5" i="2"/>
  <c r="U5" i="2"/>
  <c r="AE151" i="2" s="1"/>
  <c r="T5" i="2"/>
  <c r="S5" i="2"/>
  <c r="R5" i="2"/>
  <c r="AA95" i="2" s="1"/>
  <c r="D2" i="1" l="1"/>
  <c r="D3" i="1"/>
  <c r="D4" i="1"/>
  <c r="D5" i="1"/>
  <c r="L3" i="1"/>
  <c r="L4" i="1"/>
  <c r="L5" i="1"/>
  <c r="D6" i="1"/>
  <c r="D7" i="1"/>
  <c r="D8" i="1"/>
  <c r="D9" i="1"/>
  <c r="L6" i="1"/>
  <c r="L7" i="1"/>
  <c r="L8" i="1"/>
  <c r="L9" i="1"/>
  <c r="D26" i="1"/>
  <c r="D27" i="1"/>
  <c r="D28" i="1"/>
  <c r="D29" i="1"/>
  <c r="D50" i="1"/>
  <c r="D51" i="1"/>
  <c r="D52" i="1"/>
  <c r="D53" i="1"/>
  <c r="D74" i="1"/>
  <c r="D75" i="1"/>
  <c r="D76" i="1"/>
  <c r="D77" i="1"/>
  <c r="D10" i="1"/>
  <c r="D11" i="1"/>
  <c r="D12" i="1"/>
  <c r="D13" i="1"/>
  <c r="L10" i="1"/>
  <c r="L11" i="1"/>
  <c r="L12" i="1"/>
  <c r="L13" i="1"/>
  <c r="D14" i="1"/>
  <c r="D15" i="1"/>
  <c r="D16" i="1"/>
  <c r="D17" i="1"/>
  <c r="L14" i="1"/>
  <c r="L15" i="1"/>
  <c r="L16" i="1"/>
  <c r="L17" i="1"/>
  <c r="D34" i="1"/>
  <c r="D35" i="1"/>
  <c r="D36" i="1"/>
  <c r="D37" i="1"/>
  <c r="D58" i="1"/>
  <c r="D59" i="1"/>
  <c r="D60" i="1"/>
  <c r="D61" i="1"/>
  <c r="D82" i="1"/>
  <c r="D83" i="1"/>
  <c r="D84" i="1"/>
  <c r="D85" i="1"/>
  <c r="K2" i="1"/>
  <c r="D18" i="1"/>
  <c r="D19" i="1"/>
  <c r="D20" i="1"/>
  <c r="D21" i="1"/>
  <c r="L18" i="1"/>
  <c r="L19" i="1"/>
  <c r="L20" i="1"/>
  <c r="L21" i="1"/>
  <c r="D22" i="1"/>
  <c r="D23" i="1"/>
  <c r="D24" i="1"/>
  <c r="D25" i="1"/>
  <c r="L22" i="1"/>
  <c r="L23" i="1"/>
  <c r="L24" i="1"/>
  <c r="L25" i="1"/>
  <c r="D42" i="1"/>
  <c r="D43" i="1"/>
  <c r="D44" i="1"/>
  <c r="D45" i="1"/>
  <c r="D66" i="1"/>
  <c r="D67" i="1"/>
  <c r="D68" i="1"/>
  <c r="D69" i="1"/>
  <c r="D90" i="1"/>
  <c r="D91" i="1"/>
  <c r="D92" i="1"/>
  <c r="D93" i="1"/>
  <c r="K3" i="1"/>
  <c r="B9" i="2"/>
  <c r="L100" i="1"/>
  <c r="L101" i="1"/>
  <c r="D9" i="2"/>
  <c r="L102" i="1"/>
  <c r="L103" i="1"/>
  <c r="L104" i="1"/>
  <c r="L105" i="1"/>
  <c r="K4" i="1"/>
  <c r="D30" i="1"/>
  <c r="D31" i="1"/>
  <c r="D32" i="1"/>
  <c r="D33" i="1"/>
  <c r="D54" i="1"/>
  <c r="D55" i="1"/>
  <c r="D56" i="1"/>
  <c r="D57" i="1"/>
  <c r="D78" i="1"/>
  <c r="D79" i="1"/>
  <c r="D80" i="1"/>
  <c r="D81" i="1"/>
  <c r="K5" i="1"/>
  <c r="L26" i="1"/>
  <c r="L27" i="1"/>
  <c r="L28" i="1"/>
  <c r="L29" i="1"/>
  <c r="L30" i="1"/>
  <c r="L31" i="1"/>
  <c r="L32" i="1"/>
  <c r="L33" i="1"/>
  <c r="D38" i="1"/>
  <c r="D39" i="1"/>
  <c r="D40" i="1"/>
  <c r="D41" i="1"/>
  <c r="D62" i="1"/>
  <c r="D63" i="1"/>
  <c r="D64" i="1"/>
  <c r="D65" i="1"/>
  <c r="D86" i="1"/>
  <c r="D87" i="1"/>
  <c r="D88" i="1"/>
  <c r="D89" i="1"/>
  <c r="L34" i="1"/>
  <c r="L35" i="1"/>
  <c r="L36" i="1"/>
  <c r="L37" i="1"/>
  <c r="L38" i="1"/>
  <c r="L39" i="1"/>
  <c r="L40" i="1"/>
  <c r="L41" i="1"/>
  <c r="D46" i="1"/>
  <c r="D47" i="1"/>
  <c r="D48" i="1"/>
  <c r="D49" i="1"/>
  <c r="D70" i="1"/>
  <c r="D71" i="1"/>
  <c r="D72" i="1"/>
  <c r="D73" i="1"/>
  <c r="D94" i="1"/>
  <c r="D95" i="1"/>
  <c r="D96" i="1"/>
  <c r="D97" i="1"/>
  <c r="L42" i="1"/>
  <c r="L43" i="1"/>
  <c r="L44" i="1"/>
  <c r="L45" i="1"/>
  <c r="L46" i="1"/>
  <c r="L47" i="1"/>
  <c r="L48" i="1"/>
  <c r="L49" i="1"/>
  <c r="K6" i="1"/>
  <c r="D106" i="1"/>
  <c r="L106" i="1"/>
  <c r="L107" i="1"/>
  <c r="L108" i="1"/>
  <c r="L109" i="1"/>
  <c r="D110" i="1"/>
  <c r="L110" i="1"/>
  <c r="L111" i="1"/>
  <c r="L112" i="1"/>
  <c r="L113" i="1"/>
  <c r="K7" i="1"/>
  <c r="K8" i="1"/>
  <c r="L50" i="1"/>
  <c r="L51" i="1"/>
  <c r="L52" i="1"/>
  <c r="L53" i="1"/>
  <c r="L54" i="1"/>
  <c r="L55" i="1"/>
  <c r="L57" i="1"/>
  <c r="K9" i="1"/>
  <c r="L58" i="1"/>
  <c r="L59" i="1"/>
  <c r="L60" i="1"/>
  <c r="L61" i="1"/>
  <c r="L62" i="1"/>
  <c r="L63" i="1"/>
  <c r="L64" i="1"/>
  <c r="L65" i="1"/>
  <c r="L66" i="1"/>
  <c r="L67" i="1"/>
  <c r="L68" i="1"/>
  <c r="L69" i="1"/>
  <c r="L70" i="1"/>
  <c r="L71" i="1"/>
  <c r="L72" i="1"/>
  <c r="L73" i="1"/>
  <c r="D114" i="1"/>
  <c r="E114" i="1"/>
  <c r="E115" i="1"/>
  <c r="L115" i="1" s="1"/>
  <c r="E116" i="1"/>
  <c r="L116" i="1" s="1"/>
  <c r="E117" i="1"/>
  <c r="L117" i="1" s="1"/>
  <c r="D118" i="1"/>
  <c r="E118" i="1"/>
  <c r="E119" i="1"/>
  <c r="L119" i="1" s="1"/>
  <c r="E120" i="1"/>
  <c r="L120" i="1" s="1"/>
  <c r="E121" i="1"/>
  <c r="L121" i="1" s="1"/>
  <c r="L74" i="1"/>
  <c r="L75" i="1"/>
  <c r="L76" i="1"/>
  <c r="L77" i="1"/>
  <c r="L82" i="1"/>
  <c r="L83" i="1"/>
  <c r="L84" i="1"/>
  <c r="L85" i="1"/>
  <c r="L78" i="1"/>
  <c r="L79" i="1"/>
  <c r="L80" i="1"/>
  <c r="L81" i="1"/>
  <c r="L90" i="1"/>
  <c r="L91" i="1"/>
  <c r="L92" i="1"/>
  <c r="L93" i="1"/>
  <c r="L86" i="1"/>
  <c r="L87" i="1"/>
  <c r="L88" i="1"/>
  <c r="L89" i="1"/>
  <c r="L94" i="1"/>
  <c r="L95" i="1"/>
  <c r="L96" i="1"/>
  <c r="L97" i="1"/>
  <c r="J10" i="1"/>
  <c r="D122" i="1"/>
  <c r="E122" i="1"/>
  <c r="E123" i="1"/>
  <c r="L123" i="1" s="1"/>
  <c r="E124" i="1"/>
  <c r="L124" i="1" s="1"/>
  <c r="E125" i="1"/>
  <c r="L125" i="1" s="1"/>
  <c r="D126" i="1"/>
  <c r="E126" i="1"/>
  <c r="E127" i="1"/>
  <c r="L127" i="1" s="1"/>
  <c r="E128" i="1"/>
  <c r="L128" i="1" s="1"/>
  <c r="E129" i="1"/>
  <c r="L129" i="1" s="1"/>
  <c r="J11" i="1"/>
  <c r="K11" i="1" s="1"/>
  <c r="J12" i="1"/>
  <c r="K12" i="1" s="1"/>
  <c r="J13" i="1"/>
  <c r="K13" i="1" s="1"/>
  <c r="J14" i="1"/>
  <c r="J15" i="1"/>
  <c r="K15" i="1" s="1"/>
  <c r="J16" i="1"/>
  <c r="K16" i="1" s="1"/>
  <c r="J17" i="1"/>
  <c r="K17" i="1" s="1"/>
  <c r="J18" i="1"/>
  <c r="J19" i="1"/>
  <c r="K19" i="1" s="1"/>
  <c r="J20" i="1"/>
  <c r="K20" i="1" s="1"/>
  <c r="J21" i="1"/>
  <c r="K21" i="1" s="1"/>
  <c r="J22" i="1"/>
  <c r="J23" i="1"/>
  <c r="K23" i="1" s="1"/>
  <c r="J24" i="1"/>
  <c r="K24" i="1" s="1"/>
  <c r="J25" i="1"/>
  <c r="K25" i="1" s="1"/>
  <c r="K102" i="1"/>
  <c r="K26" i="1"/>
  <c r="K27" i="1"/>
  <c r="K28" i="1"/>
  <c r="K29" i="1"/>
  <c r="K30" i="1"/>
  <c r="K31" i="1"/>
  <c r="K32" i="1"/>
  <c r="K33" i="1"/>
  <c r="J34" i="1"/>
  <c r="J35" i="1"/>
  <c r="K35" i="1" s="1"/>
  <c r="J36" i="1"/>
  <c r="K36" i="1" s="1"/>
  <c r="J37" i="1"/>
  <c r="K37" i="1" s="1"/>
  <c r="J38" i="1"/>
  <c r="J39" i="1"/>
  <c r="K39" i="1" s="1"/>
  <c r="J40" i="1"/>
  <c r="K40" i="1" s="1"/>
  <c r="J41" i="1"/>
  <c r="K41" i="1" s="1"/>
  <c r="J42" i="1"/>
  <c r="J43" i="1"/>
  <c r="K43" i="1" s="1"/>
  <c r="J44" i="1"/>
  <c r="K44" i="1" s="1"/>
  <c r="J45" i="1"/>
  <c r="K45" i="1" s="1"/>
  <c r="J46" i="1"/>
  <c r="J47" i="1"/>
  <c r="K47" i="1" s="1"/>
  <c r="J48" i="1"/>
  <c r="K48" i="1" s="1"/>
  <c r="J49" i="1"/>
  <c r="K49" i="1" s="1"/>
  <c r="J106" i="1"/>
  <c r="J110" i="1"/>
  <c r="K50" i="1"/>
  <c r="K51" i="1"/>
  <c r="K52" i="1"/>
  <c r="K53" i="1"/>
  <c r="K54" i="1"/>
  <c r="J55" i="1"/>
  <c r="K57" i="1"/>
  <c r="J58" i="1"/>
  <c r="J59" i="1"/>
  <c r="K59" i="1" s="1"/>
  <c r="J60" i="1"/>
  <c r="K60" i="1" s="1"/>
  <c r="J61" i="1"/>
  <c r="K61" i="1" s="1"/>
  <c r="J62" i="1"/>
  <c r="J63" i="1"/>
  <c r="K63" i="1" s="1"/>
  <c r="J64" i="1"/>
  <c r="K64" i="1" s="1"/>
  <c r="J65" i="1"/>
  <c r="K65" i="1" s="1"/>
  <c r="J66" i="1"/>
  <c r="J67" i="1"/>
  <c r="K67" i="1" s="1"/>
  <c r="J68" i="1"/>
  <c r="K68" i="1" s="1"/>
  <c r="J69" i="1"/>
  <c r="K69" i="1" s="1"/>
  <c r="J70" i="1"/>
  <c r="J71" i="1"/>
  <c r="K71" i="1" s="1"/>
  <c r="J72" i="1"/>
  <c r="K72" i="1" s="1"/>
  <c r="J73" i="1"/>
  <c r="K73" i="1" s="1"/>
  <c r="J114" i="1"/>
  <c r="J118" i="1"/>
  <c r="K74" i="1"/>
  <c r="K75" i="1"/>
  <c r="K76" i="1"/>
  <c r="K77" i="1"/>
  <c r="K78" i="1"/>
  <c r="K79" i="1"/>
  <c r="K80" i="1"/>
  <c r="K81" i="1"/>
  <c r="K82" i="1"/>
  <c r="K83" i="1"/>
  <c r="K84" i="1"/>
  <c r="K85" i="1"/>
  <c r="K86" i="1"/>
  <c r="K87" i="1"/>
  <c r="K88" i="1"/>
  <c r="K89" i="1"/>
  <c r="J90" i="1"/>
  <c r="J91" i="1"/>
  <c r="K91" i="1" s="1"/>
  <c r="J92" i="1"/>
  <c r="K92" i="1" s="1"/>
  <c r="J93" i="1"/>
  <c r="K93" i="1" s="1"/>
  <c r="J94" i="1"/>
  <c r="J95" i="1"/>
  <c r="K95" i="1" s="1"/>
  <c r="J96" i="1"/>
  <c r="K96" i="1" s="1"/>
  <c r="J97" i="1"/>
  <c r="K97" i="1" s="1"/>
  <c r="J122" i="1"/>
  <c r="J126" i="1"/>
  <c r="K114" i="1" l="1"/>
  <c r="K110" i="1"/>
  <c r="K122" i="1"/>
  <c r="H14" i="2"/>
  <c r="K118" i="1"/>
  <c r="P24" i="2"/>
  <c r="L122" i="1"/>
  <c r="O24" i="2" s="1"/>
  <c r="J19" i="2"/>
  <c r="L118" i="1"/>
  <c r="M19" i="2" s="1"/>
  <c r="K126" i="1"/>
  <c r="L126" i="1"/>
  <c r="Q24" i="2" s="1"/>
  <c r="L19" i="2"/>
  <c r="L114" i="1"/>
  <c r="K19" i="2" s="1"/>
  <c r="F14" i="2"/>
  <c r="K106" i="1"/>
  <c r="N24" i="2"/>
  <c r="K94" i="1"/>
  <c r="K90" i="1"/>
  <c r="K66" i="1"/>
  <c r="K70" i="1"/>
  <c r="K55" i="1"/>
  <c r="K58" i="1"/>
  <c r="K62" i="1"/>
  <c r="P23" i="2"/>
  <c r="Y12" i="2" s="1"/>
  <c r="L18" i="2"/>
  <c r="W12" i="2" s="1"/>
  <c r="K42" i="1"/>
  <c r="K46" i="1"/>
  <c r="K34" i="1"/>
  <c r="K38" i="1"/>
  <c r="B8" i="2"/>
  <c r="S8" i="2" s="1"/>
  <c r="K18" i="1"/>
  <c r="K22" i="1"/>
  <c r="K14" i="1"/>
  <c r="K10" i="1"/>
  <c r="Q23" i="2"/>
  <c r="Y25" i="2" s="1"/>
  <c r="O22" i="2"/>
  <c r="Y20" i="2" s="1"/>
  <c r="I13" i="2"/>
  <c r="U25" i="2" s="1"/>
  <c r="D8" i="2"/>
  <c r="S12" i="2" s="1"/>
  <c r="K16" i="2"/>
  <c r="W19" i="2" s="1"/>
  <c r="L17" i="2"/>
  <c r="W11" i="2" s="1"/>
  <c r="O21" i="2"/>
  <c r="Y19" i="2" s="1"/>
  <c r="G12" i="2"/>
  <c r="U20" i="2" s="1"/>
  <c r="M16" i="2"/>
  <c r="W23" i="2" s="1"/>
  <c r="I14" i="2"/>
  <c r="P22" i="2"/>
  <c r="Y11" i="2" s="1"/>
  <c r="I11" i="2"/>
  <c r="U23" i="2" s="1"/>
  <c r="Q21" i="2"/>
  <c r="Y23" i="2" s="1"/>
  <c r="P21" i="2"/>
  <c r="Y10" i="2" s="1"/>
  <c r="C9" i="2"/>
  <c r="N22" i="2"/>
  <c r="Y7" i="2" s="1"/>
  <c r="F12" i="2"/>
  <c r="U7" i="2" s="1"/>
  <c r="AE153" i="2" s="1"/>
  <c r="D7" i="2"/>
  <c r="S11" i="2" s="1"/>
  <c r="B7" i="2"/>
  <c r="S7" i="2" s="1"/>
  <c r="D6" i="2"/>
  <c r="S10" i="2" s="1"/>
  <c r="Q22" i="2"/>
  <c r="Y24" i="2" s="1"/>
  <c r="O23" i="2"/>
  <c r="Y21" i="2" s="1"/>
  <c r="G13" i="2"/>
  <c r="U21" i="2" s="1"/>
  <c r="H11" i="2"/>
  <c r="U10" i="2" s="1"/>
  <c r="AE156" i="2" s="1"/>
  <c r="N23" i="2"/>
  <c r="Y8" i="2" s="1"/>
  <c r="J18" i="2"/>
  <c r="W8" i="2" s="1"/>
  <c r="F13" i="2"/>
  <c r="U8" i="2" s="1"/>
  <c r="AE154" i="2" s="1"/>
  <c r="H12" i="2"/>
  <c r="U11" i="2" s="1"/>
  <c r="AE157" i="2" s="1"/>
  <c r="L16" i="2"/>
  <c r="W10" i="2" s="1"/>
  <c r="E9" i="2"/>
  <c r="J17" i="2"/>
  <c r="W7" i="2" s="1"/>
  <c r="E7" i="2"/>
  <c r="S24" i="2" s="1"/>
  <c r="E6" i="2"/>
  <c r="S23" i="2" s="1"/>
  <c r="B6" i="2"/>
  <c r="S6" i="2" s="1"/>
  <c r="K17" i="2"/>
  <c r="W20" i="2" s="1"/>
  <c r="I12" i="2"/>
  <c r="U24" i="2" s="1"/>
  <c r="G11" i="2"/>
  <c r="U19" i="2" s="1"/>
  <c r="C8" i="2"/>
  <c r="S21" i="2" s="1"/>
  <c r="C7" i="2"/>
  <c r="S20" i="2" s="1"/>
  <c r="C6" i="2"/>
  <c r="S19" i="2" s="1"/>
  <c r="K18" i="2"/>
  <c r="W21" i="2" s="1"/>
  <c r="G14" i="2"/>
  <c r="H13" i="2"/>
  <c r="U12" i="2" s="1"/>
  <c r="AE158" i="2" s="1"/>
  <c r="E8" i="2"/>
  <c r="S25" i="2" s="1"/>
  <c r="J16" i="2"/>
  <c r="W6" i="2" s="1"/>
  <c r="M18" i="2"/>
  <c r="W25" i="2" s="1"/>
  <c r="M17" i="2"/>
  <c r="W24" i="2" s="1"/>
  <c r="N21" i="2"/>
  <c r="Y6" i="2" s="1"/>
  <c r="F11" i="2"/>
  <c r="U6" i="2" s="1"/>
  <c r="AE152" i="2" s="1"/>
</calcChain>
</file>

<file path=xl/sharedStrings.xml><?xml version="1.0" encoding="utf-8"?>
<sst xmlns="http://schemas.openxmlformats.org/spreadsheetml/2006/main" count="465" uniqueCount="184">
  <si>
    <t xml:space="preserve"> </t>
  </si>
  <si>
    <t>(cm)</t>
  </si>
  <si>
    <t>1st cut</t>
  </si>
  <si>
    <t>2nd cut</t>
  </si>
  <si>
    <t>3rd cut</t>
  </si>
  <si>
    <t>4th cut</t>
  </si>
  <si>
    <t>Allen</t>
  </si>
  <si>
    <t>DOY</t>
  </si>
  <si>
    <t>Height</t>
  </si>
  <si>
    <t>LAI</t>
  </si>
  <si>
    <t>LAI data, NE above SE</t>
  </si>
  <si>
    <t>LAI vs. Plant Height graph:</t>
  </si>
  <si>
    <t>NE</t>
  </si>
  <si>
    <t>NE fld/lysimeter</t>
  </si>
  <si>
    <t>NE_1</t>
  </si>
  <si>
    <t>NE_2</t>
  </si>
  <si>
    <t>NE_3</t>
  </si>
  <si>
    <t>NE_4</t>
  </si>
  <si>
    <t>NE-1</t>
  </si>
  <si>
    <t>NE-2</t>
  </si>
  <si>
    <t>NE-3</t>
  </si>
  <si>
    <t>NE-4</t>
  </si>
  <si>
    <t>NEFLD</t>
  </si>
  <si>
    <t>NEHT</t>
  </si>
  <si>
    <t>NELAI</t>
  </si>
  <si>
    <t>NELYS</t>
  </si>
  <si>
    <t>Plant</t>
  </si>
  <si>
    <t>Plant height data, NE above SE</t>
  </si>
  <si>
    <t>SE</t>
  </si>
  <si>
    <t>SE fld/lysimeter</t>
  </si>
  <si>
    <t>SE_1</t>
  </si>
  <si>
    <t>SE_2</t>
  </si>
  <si>
    <t>SE_3</t>
  </si>
  <si>
    <t>SE_4</t>
  </si>
  <si>
    <t>SE-1</t>
  </si>
  <si>
    <t>SE-2</t>
  </si>
  <si>
    <t>SE-3</t>
  </si>
  <si>
    <t>SE-4</t>
  </si>
  <si>
    <t>SEFLD</t>
  </si>
  <si>
    <t>SEHT</t>
  </si>
  <si>
    <t>SELAI</t>
  </si>
  <si>
    <t>SELYS</t>
  </si>
  <si>
    <t>Spline 13.9-25</t>
  </si>
  <si>
    <t>Spline 15-25</t>
  </si>
  <si>
    <t>Spline 15-30</t>
  </si>
  <si>
    <t>Spline 4.8-20</t>
  </si>
  <si>
    <t>Spline 4.9-20.1</t>
  </si>
  <si>
    <t>Spline 50-56</t>
  </si>
  <si>
    <t>Spline 50-70</t>
  </si>
  <si>
    <t>Spline 5-20</t>
  </si>
  <si>
    <t>Spline 55-80</t>
  </si>
  <si>
    <t>Date</t>
  </si>
  <si>
    <t>Day of year</t>
  </si>
  <si>
    <t>Plot</t>
  </si>
  <si>
    <t>Growth stage</t>
  </si>
  <si>
    <t>SE-LYS-1</t>
  </si>
  <si>
    <t>SE-LYS-2</t>
  </si>
  <si>
    <t>SE-LYS-3</t>
  </si>
  <si>
    <t>SE-LYS-4</t>
  </si>
  <si>
    <t>NE-LYS-2</t>
  </si>
  <si>
    <t>NE-LYS-3</t>
  </si>
  <si>
    <t>NE-LYS-4</t>
  </si>
  <si>
    <t>NE-LYS-1</t>
  </si>
  <si>
    <t>SHEET NAME</t>
  </si>
  <si>
    <t>CONTENTS</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</si>
  <si>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</si>
  <si>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</si>
  <si>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Author</t>
  </si>
  <si>
    <t>Steven R. Evett, Research Soil Scientist (point of contact and responsible for this spreadsheet), Steve.Evett@usda.gov, 806-356-5775, srevett1948@gmail.com</t>
  </si>
  <si>
    <t>Brice B. Ruthardt, Biological Scientist, Brice.Ruthardt@usda.gov, 806-356-5780</t>
  </si>
  <si>
    <t>Karen S. Copeland, Soil Scientist, Karen.Copeland@usda.gov, 806-356-5735</t>
  </si>
  <si>
    <t>Gary W. Marek, Research Agricultural Engineer, gary.marek@usda.gov</t>
  </si>
  <si>
    <t>Paul D. Colaizzi, Research Agricultural Engineer, paul.colaizzi@usda.gov</t>
  </si>
  <si>
    <t>David K. Brauer, Research Leader and Laboratory Director, david.brauer@usda.gov</t>
  </si>
  <si>
    <t>All are  or were employed at the</t>
  </si>
  <si>
    <t>USDA-ARS Conservation &amp; Production Research Laboratory, 300 Simmons Road, Unit 10, Bushland, Texas 79012 USA</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</si>
  <si>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</si>
  <si>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</si>
  <si>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</si>
  <si>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</si>
  <si>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 xml:space="preserve">Data contained herein are from experiments in the large weighing lysimeter fields at Bushland, Texas. Neutron count measurements were taken using a model 503DR1.5 HydroProbe manufactured by Campbell Pacific Nuclear, a division of Instrotek, Inc., Concord, California. Soil horizon-specific calibrations were established at field sites using methods described by Evett (2003) and Evett et al. (2008). </t>
  </si>
  <si>
    <t>REFERENCES:</t>
  </si>
  <si>
    <t>Evett, S.R., T.A. Howell, R.W. Todd, A.D. Schneider, and J.A. Tolk. 2000. Alfalfa reference ET measurement and prediction. Pp. 266-272 In Robert G. Evans, Brian L. Benham, and Todd P. Trooien (ed) Proceedings of the 4th Decennial National Irrigation Symposium, Nov. 14-16, Phoenix, AZ.</t>
  </si>
  <si>
    <t>Evett, S.R., R.J. Lascano, T.A. Howell, J.A. Tolk, S.A. O'Shaughnessy, P.D. Colaizzi. 2012. Single- and dual-surface iterative energy balance solutions for reference ET. Trans. ASABE 55(2):533-541. https://doi.org/10.13031/2013.41388</t>
  </si>
  <si>
    <t>Howell, T.A., S.R. Evett, J.A. Tolk, K.S. Copeland, D.A. Dusek, and P.D. Colaizzi. 2006. Crop coefficients developed at Bushland, Texas for corn, wheat, sorghum, soybean, cotton, and alfalfa. In: Graham, Randall (Ed.), ASCE-EWRI World Environmental Water Resources Congress. ASCE, http://dx.doi.org/10.1061/40856(200)260.</t>
  </si>
  <si>
    <t>Tolk, J.A., T.A. Howell, and S.R. Evett. 2006a. Nighttime evapotranspiration from alfalfa and cotton in a semiarid climate. Agron. J. 98:730–736. http://doi.org/10.2134/agronj2005.0276</t>
  </si>
  <si>
    <t>Tolk, J.A., S.R. Evett, and T.A. Howell. 2006. Advection influences on evapotranspiration of alfalfa in a semiarid climate. Agron. J. 98:1646-1654. http://doi.org/10.2134/agronj2006.0031</t>
  </si>
  <si>
    <t>EXPLANATION</t>
  </si>
  <si>
    <t>Plant data</t>
  </si>
  <si>
    <t>Alfalfa plant height, fresh mass from a 1 square meter sample plot, subsample leaf area in square cm, subsample dry stem mass, subsample dry leaf mass, leaf area index and growth stage</t>
  </si>
  <si>
    <t>Plot vegetation was subsampled for leaf area (LA, cm^2), and leaf area index (LAI) was calculated as LAI = (subsample leaf area)(subsample fresh mass)/[(whole sample fresh mass)(10000)]</t>
  </si>
  <si>
    <t>Leaf area index</t>
  </si>
  <si>
    <t>Subsampling</t>
  </si>
  <si>
    <t>A subsample of the total plot sample was taken, its mass was measured, and its leaf area was measured. Subsample leaves and stems were dried and their masses measured.</t>
  </si>
  <si>
    <t>The fresh mass of the total plot sample was measured.</t>
  </si>
  <si>
    <t>The plot sample remaining after subsampling was dried and its mass measured.</t>
  </si>
  <si>
    <t>Plot dry mass</t>
  </si>
  <si>
    <t>All vegetation was harvested from each plot and sealed in a plastic bag then stored in a refrigerator for later analysis.</t>
  </si>
  <si>
    <t>Four plots, each one square meter in size, were randomly chosen in each alfalfa field and numbered 1 through 4. There were two fields, a northeast (NE) field and a southeast (SE) field. Plant height was measured in each plot.</t>
  </si>
  <si>
    <t>Lysimeter harvest data</t>
  </si>
  <si>
    <t>Lysimeter vegetation was subsampled for leaf area (LA, cm^2), and leaf area index (LAI) was calculated as LAI = (subsample leaf area)(subsample fresh mass)/[(whole sample fresh mass)(90000)]</t>
  </si>
  <si>
    <t>Lysimeter leaf area index</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</si>
  <si>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</si>
  <si>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</si>
  <si>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</si>
  <si>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</si>
  <si>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</si>
  <si>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</si>
  <si>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</si>
  <si>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</si>
  <si>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</si>
  <si>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</si>
  <si>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</si>
  <si>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</si>
  <si>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Serial day of the year beginning with 1 for January 1.</t>
  </si>
  <si>
    <t>integer</t>
  </si>
  <si>
    <t>1 to 366</t>
  </si>
  <si>
    <t>decimal</t>
  </si>
  <si>
    <t>0 to 1</t>
  </si>
  <si>
    <t>Fraction of total field area that was irrigated by one sprinkler span</t>
  </si>
  <si>
    <t>alphanumeric</t>
  </si>
  <si>
    <t>variable</t>
  </si>
  <si>
    <t>Plant height in centimeters</t>
  </si>
  <si>
    <t>Mass in g of a subsample</t>
  </si>
  <si>
    <t>Mass of all matter, dried leaves and stems and dried sample after subsampling.</t>
  </si>
  <si>
    <t>1 to 5</t>
  </si>
  <si>
    <t>yes, #N/A</t>
  </si>
  <si>
    <t>Graphs of leaf area index and plant height over time.</t>
  </si>
  <si>
    <t>Explanation of sheet names and contents, authors of the data, key references to methods, symbols, conventions and methods</t>
  </si>
  <si>
    <t>CONVENTION/METHOD</t>
  </si>
  <si>
    <t>Plot sample fresh mass</t>
  </si>
  <si>
    <t>Plot sample harvest</t>
  </si>
  <si>
    <t>At field harvest time, all vegetation from each lysimeter surface was harvested and sealed in four or five plastic bags then placed in a refrigerator for later analysis.</t>
  </si>
  <si>
    <t>Terry A. Howell, Sr., Laboratory Director (retired), tah1@att.net</t>
  </si>
  <si>
    <t>Mass of the total harvested sample before drying. Sample area was one square meter</t>
  </si>
  <si>
    <t>One-sided area in square centimeters of leaves in subsample, measured using a leaf area meter.</t>
  </si>
  <si>
    <t>Leaf area index. One-sided total leaf area divided by sample plot area of one square meter (10,000 square centimeters).</t>
  </si>
  <si>
    <t>Year</t>
  </si>
  <si>
    <t>Span</t>
  </si>
  <si>
    <t>Span fraction of total area</t>
  </si>
  <si>
    <t>yyyy</t>
  </si>
  <si>
    <t>1 to 11</t>
  </si>
  <si>
    <t>Yield in kg of field-cured and baled alfalfa hay under a sprinkler span</t>
  </si>
  <si>
    <t>Water content in g/g of field-cured alfalfa hay</t>
  </si>
  <si>
    <r>
      <t>Yield in kg of oven-dry alfalfa hay under a sprinkler span after drying at 60</t>
    </r>
    <r>
      <rPr>
        <sz val="10"/>
        <rFont val="Calibri"/>
        <family val="2"/>
      </rPr>
      <t>°</t>
    </r>
    <r>
      <rPr>
        <sz val="10"/>
        <rFont val="Arial"/>
        <family val="2"/>
      </rPr>
      <t>C for 24 hours</t>
    </r>
  </si>
  <si>
    <r>
      <t>Yield in kg/ha of oven-dry alfalfa hay under a sprinkler span after drying at 24 hours at 60</t>
    </r>
    <r>
      <rPr>
        <sz val="10"/>
        <rFont val="Calibri"/>
        <family val="2"/>
      </rPr>
      <t>°</t>
    </r>
    <r>
      <rPr>
        <sz val="10"/>
        <rFont val="Arial"/>
        <family val="2"/>
      </rPr>
      <t>C</t>
    </r>
  </si>
  <si>
    <t>1996 alfalfa yield</t>
  </si>
  <si>
    <t>Linear move sprinkler span number. There were 10 spans numbered from north to south. The area for span 10 included the overhang of sprinklers on the south end of the lateral after span 10.</t>
  </si>
  <si>
    <t>Dry yield in kg</t>
  </si>
  <si>
    <t>Dry yield in kg/ha</t>
  </si>
  <si>
    <t>Water content in g/g</t>
  </si>
  <si>
    <t>Cured yield in kg</t>
  </si>
  <si>
    <t>Plant height in cm</t>
  </si>
  <si>
    <t>Total sample fresh mass in g</t>
  </si>
  <si>
    <t>Subsample fresh mass in g</t>
  </si>
  <si>
    <t>Subsample leaf area in cm</t>
  </si>
  <si>
    <t>Subsample dry stem mass in g</t>
  </si>
  <si>
    <t>Subsample dry leaf mass in g</t>
  </si>
  <si>
    <t>Remaining plot dry mass in g</t>
  </si>
  <si>
    <t>Total plot dry matter in g</t>
  </si>
  <si>
    <t>Growth stage determined following guidelines of Kalu and Fick (1983): Kalu, B.A., and G.W. Fick. 1983. Morphological stage of development as a predictor of alfalfa herbage quality. Crop Sci. 23(6), 1167-1172. https://doi.org/10.2135/cropsci1983.0011183X002300060033x</t>
  </si>
  <si>
    <t>1996 alfalfa Introduction</t>
  </si>
  <si>
    <t>Dic. 1996 alfalfa growth</t>
  </si>
  <si>
    <t>1996 alfalfa growth</t>
  </si>
  <si>
    <t>Data dictionary for sheet or CSV file named "1996 alfalfa growth"</t>
  </si>
  <si>
    <t>Dic. 1996 alfalfa yield</t>
  </si>
  <si>
    <t>Data dictionary for sheet or CSV file named "1996 alfalfa yield"</t>
  </si>
  <si>
    <t>Alfalfa fresh yield, water content of fresh biomass, and dry yield</t>
  </si>
  <si>
    <t>1996 alfalfa graphing</t>
  </si>
  <si>
    <t>Dry yield</t>
  </si>
  <si>
    <t>Per hectare dry yields assume an area of 8.903 ha (22 acres) and oven dry (60°C) mass.</t>
  </si>
  <si>
    <t>Cutting</t>
  </si>
  <si>
    <t>At each harvest alfalfa was cut and field cured then baled. There were between four and five harvests (cuttings) each year.</t>
  </si>
  <si>
    <t>The alfalfa was irrigated using a linear move sprinkler consisting of ten spans carried on wheeled A-frame towers that moved across the field in the east-west and west-east directions. The spans were numbered from 1 at the north end through 10 at the south end. An overhanging pipe south of the southernmost tower supplied water to sprinklers irrigating that area, which was called the 11th span.</t>
  </si>
  <si>
    <t>day of year. January 1 is DOY 1, February 1 is DOY 32, etc.</t>
  </si>
  <si>
    <t>Cured yield</t>
  </si>
  <si>
    <t>Alfalfa is cured (dried) in the field after cutting and before baling. The moisture content of the field-cured alfalfa is reported and used to calculate the dry yield</t>
  </si>
  <si>
    <t>Moisture</t>
  </si>
  <si>
    <r>
      <t>The water content of the field-cured alfalfa was determine by removing cores from bales, weighing them and weighing them again after drying in an oven for 24 hours at 60</t>
    </r>
    <r>
      <rPr>
        <sz val="10"/>
        <rFont val="Calibri"/>
        <family val="2"/>
      </rPr>
      <t>°</t>
    </r>
    <r>
      <rPr>
        <sz val="10"/>
        <rFont val="Arial"/>
        <family val="2"/>
      </rPr>
      <t xml:space="preserve">C. The difference in mass divided by the oven-dry mass is the moisture content as a fraction of oven-dry mass </t>
    </r>
  </si>
  <si>
    <t>This represents the fraction of the total field area of 8.903 ha (22 acres) that was irrigated under one sprinkler span and from which harvest data were gathered.</t>
  </si>
  <si>
    <t>Plot designation consisting of field ID (NE for northeast or SE for southeast), a hyphen, and a number that indicates one of four sample plots in a field. Plots were one square meter in surface area. If samples are from a lysimeter, the plot name will contain "LYS" or "lysimeter"</t>
  </si>
  <si>
    <t>Mass of stems in subsample after drying for 24 hours at 60°C</t>
  </si>
  <si>
    <t>Mass of leaves in subsample after drying for 24 hours at 60°C</t>
  </si>
  <si>
    <t>Mass of sample remaining after subsampling after drying for 24 hours at 60°C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</si>
</sst>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yyyy\-mm\-dd;@"/>
  </numFmts>
  <fonts count="18" x14ac:knownFonts="1">
    <font>
      <sz val="12"/>
      <name val="Times New Roman"/>
    </font>
    <font>
      <sz val="8"/>
      <name val="Times New Roman"/>
      <family val="1"/>
    </font>
    <font>
      <sz val="12"/>
      <name val="Arial"/>
      <family val="2"/>
    </font>
    <font>
      <b/>
      <sz val="18"/>
      <name val="Arial"/>
      <family val="2"/>
    </font>
    <font>
      <b/>
      <sz val="12"/>
      <name val="Arial"/>
      <family val="2"/>
    </font>
    <font>
      <sz val="12"/>
      <name val="Times New Roman"/>
      <family val="1"/>
    </font>
    <font>
      <sz val="10"/>
      <name val="Arial"/>
      <family val="2"/>
    </font>
    <font>
      <sz val="14"/>
      <color rgb="FF000000"/>
      <name val="Calibri"/>
      <family val="2"/>
    </font>
    <font>
      <sz val="11"/>
      <color rgb="FF000000"/>
      <name val="Calibri"/>
      <family val="2"/>
    </font>
    <font>
      <sz val="11"/>
      <name val="Calibri"/>
      <family val="2"/>
    </font>
    <font>
      <b/>
      <sz val="11"/>
      <color rgb="FF000000"/>
      <name val="Calibri"/>
      <family val="2"/>
    </font>
    <font>
      <sz val="10"/>
      <name val="Calibri"/>
      <family val="2"/>
    </font>
    <font>
      <sz val="10"/>
      <name val="Arial"/>
      <family val="2"/>
    </font>
    <font>
      <b/>
      <sz val="11"/>
      <color rgb="FF000000"/>
      <name val="Arial"/>
      <family val="2"/>
    </font>
    <font>
      <sz val="12"/>
      <name val="Arial"/>
      <family val="2"/>
    </font>
    <font>
      <sz val="10"/>
      <color theme="1"/>
      <name val="Arial"/>
      <family val="2"/>
    </font>
    <font>
      <b/>
      <sz val="10"/>
      <color rgb="FF000000"/>
      <name val="Arial"/>
      <family val="2"/>
    </font>
    <font>
      <sz val="10"/>
      <color rgb="FF000000"/>
      <name val="Arial"/>
      <family val="2"/>
    </font>
  </fonts>
  <fills count="4">
    <fill>
      <patternFill patternType="none"/>
    </fill>
    <fill>
      <patternFill patternType="gray125"/>
    </fill>
    <fill>
      <patternFill patternType="solid">
        <fgColor indexed="9"/>
        <bgColor indexed="9"/>
      </patternFill>
    </fill>
    <fill>
      <patternFill patternType="solid">
        <fgColor rgb="FFEFEFEF"/>
        <bgColor rgb="FFEFEFEF"/>
      </patternFill>
    </fill>
  </fills>
  <borders count="4">
    <border>
      <left/>
      <right/>
      <top/>
      <bottom/>
      <diagonal/>
    </border>
    <border>
      <left/>
      <right/>
      <top style="thin">
        <color indexed="64"/>
      </top>
      <bottom style="double">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9">
    <xf numFmtId="0" fontId="0" fillId="0" borderId="0"/>
    <xf numFmtId="0" fontId="2" fillId="2" borderId="0"/>
    <xf numFmtId="2" fontId="2" fillId="2" borderId="0"/>
    <xf numFmtId="0" fontId="3" fillId="2" borderId="0"/>
    <xf numFmtId="0" fontId="4" fillId="2" borderId="0"/>
    <xf numFmtId="0" fontId="2" fillId="2" borderId="1"/>
    <xf numFmtId="0" fontId="6" fillId="0" borderId="0"/>
    <xf numFmtId="0" fontId="12" fillId="0" borderId="0"/>
    <xf numFmtId="0" fontId="14" fillId="0" borderId="0"/>
  </cellStyleXfs>
  <cellXfs count="49">
    <xf numFmtId="0" fontId="0" fillId="2" borderId="0" xfId="0" applyFill="1"/>
    <xf numFmtId="2" fontId="0" fillId="2" borderId="0" xfId="0" applyNumberFormat="1" applyFill="1"/>
    <xf numFmtId="0" fontId="0" fillId="2" borderId="2" xfId="0" applyFill="1" applyBorder="1"/>
    <xf numFmtId="2" fontId="0" fillId="2" borderId="2" xfId="0" applyNumberFormat="1" applyFill="1" applyBorder="1"/>
    <xf numFmtId="0" fontId="5" fillId="2" borderId="0" xfId="0" applyFont="1" applyFill="1"/>
    <xf numFmtId="165" fontId="0" fillId="2" borderId="0" xfId="0" applyNumberFormat="1" applyFill="1"/>
    <xf numFmtId="0" fontId="5" fillId="2" borderId="2" xfId="0" applyFont="1" applyFill="1" applyBorder="1"/>
    <xf numFmtId="165" fontId="5" fillId="2" borderId="0" xfId="0" applyNumberFormat="1" applyFont="1" applyFill="1" applyAlignment="1">
      <alignment wrapText="1"/>
    </xf>
    <xf numFmtId="0" fontId="5" fillId="2" borderId="0" xfId="0" applyFont="1" applyFill="1" applyAlignment="1">
      <alignment wrapText="1"/>
    </xf>
    <xf numFmtId="0" fontId="0" fillId="2" borderId="0" xfId="0" applyFill="1" applyAlignment="1">
      <alignment wrapText="1"/>
    </xf>
    <xf numFmtId="0" fontId="0" fillId="2" borderId="0" xfId="0" applyFill="1" applyAlignment="1">
      <alignment horizontal="right" wrapText="1"/>
    </xf>
    <xf numFmtId="0" fontId="5" fillId="2" borderId="2" xfId="0" applyFont="1" applyFill="1" applyBorder="1" applyAlignment="1">
      <alignment horizontal="left" wrapText="1"/>
    </xf>
    <xf numFmtId="0" fontId="5" fillId="2" borderId="0" xfId="0" applyFont="1" applyFill="1" applyAlignment="1">
      <alignment horizontal="left" wrapText="1"/>
    </xf>
    <xf numFmtId="0" fontId="0" fillId="2" borderId="0" xfId="0" applyFill="1" applyAlignment="1">
      <alignment horizontal="center"/>
    </xf>
    <xf numFmtId="0" fontId="5" fillId="2" borderId="0" xfId="0" applyFont="1" applyFill="1" applyAlignment="1">
      <alignment horizontal="center" wrapText="1"/>
    </xf>
    <xf numFmtId="0" fontId="6" fillId="0" borderId="0" xfId="6" applyAlignment="1">
      <alignment vertical="top"/>
    </xf>
    <xf numFmtId="0" fontId="6" fillId="0" borderId="0" xfId="6"/>
    <xf numFmtId="0" fontId="7" fillId="0" borderId="0" xfId="6" applyFont="1" applyAlignment="1">
      <alignment horizontal="left" vertical="center" readingOrder="1"/>
    </xf>
    <xf numFmtId="0" fontId="8" fillId="0" borderId="0" xfId="6" applyFont="1" applyAlignment="1">
      <alignment horizontal="left" vertical="center" readingOrder="1"/>
    </xf>
    <xf numFmtId="0" fontId="9" fillId="0" borderId="0" xfId="6" applyFont="1" applyAlignment="1">
      <alignment vertical="center" readingOrder="1"/>
    </xf>
    <xf numFmtId="0" fontId="6" fillId="0" borderId="0" xfId="7" applyFont="1"/>
    <xf numFmtId="14" fontId="12" fillId="0" borderId="0" xfId="7" applyNumberFormat="1" applyAlignment="1">
      <alignment horizontal="left"/>
    </xf>
    <xf numFmtId="0" fontId="12" fillId="0" borderId="0" xfId="7" applyAlignment="1">
      <alignment horizontal="left"/>
    </xf>
    <xf numFmtId="0" fontId="6" fillId="0" borderId="0" xfId="7" applyFont="1" applyAlignment="1">
      <alignment horizontal="left"/>
    </xf>
    <xf numFmtId="0" fontId="12" fillId="0" borderId="0" xfId="7"/>
    <xf numFmtId="0" fontId="13" fillId="3" borderId="3" xfId="6" applyFont="1" applyFill="1" applyBorder="1" applyAlignment="1">
      <alignment vertical="top" wrapText="1"/>
    </xf>
    <xf numFmtId="0" fontId="6" fillId="0" borderId="0" xfId="6" applyAlignment="1">
      <alignment vertical="top" wrapText="1"/>
    </xf>
    <xf numFmtId="0" fontId="2" fillId="0" borderId="0" xfId="0" applyFont="1"/>
    <xf numFmtId="0" fontId="2" fillId="0" borderId="0" xfId="0" applyFont="1" applyAlignment="1">
      <alignment wrapText="1"/>
    </xf>
    <xf numFmtId="0" fontId="2" fillId="2" borderId="0" xfId="0" applyFont="1" applyFill="1" applyAlignment="1">
      <alignment wrapText="1"/>
    </xf>
    <xf numFmtId="2" fontId="0" fillId="0" borderId="0" xfId="0" applyNumberFormat="1"/>
    <xf numFmtId="0" fontId="0" fillId="0" borderId="0" xfId="0"/>
    <xf numFmtId="165" fontId="0" fillId="0" borderId="0" xfId="0" applyNumberFormat="1"/>
    <xf numFmtId="1" fontId="0" fillId="0" borderId="0" xfId="0" applyNumberFormat="1"/>
    <xf numFmtId="1" fontId="2" fillId="0" borderId="0" xfId="0" applyNumberFormat="1" applyFont="1"/>
    <xf numFmtId="0" fontId="0" fillId="2" borderId="0" xfId="0" applyFill="1" applyAlignment="1">
      <alignment vertical="top"/>
    </xf>
    <xf numFmtId="0" fontId="8" fillId="0" borderId="0" xfId="6" applyFont="1" applyAlignment="1">
      <alignment vertical="top" wrapText="1"/>
    </xf>
    <xf numFmtId="0" fontId="6" fillId="0" borderId="0" xfId="0" applyFont="1"/>
    <xf numFmtId="0" fontId="6" fillId="0" borderId="0" xfId="0" applyFont="1" applyAlignment="1">
      <alignment wrapText="1"/>
    </xf>
    <xf numFmtId="0" fontId="6" fillId="2" borderId="0" xfId="0" applyFont="1" applyFill="1" applyAlignment="1">
      <alignment wrapText="1"/>
    </xf>
    <xf numFmtId="0" fontId="15" fillId="0" borderId="0" xfId="6" applyFont="1"/>
    <xf numFmtId="0" fontId="16" fillId="3" borderId="3" xfId="6" applyFont="1" applyFill="1" applyBorder="1" applyAlignment="1">
      <alignment horizontal="left" vertical="top" wrapText="1"/>
    </xf>
    <xf numFmtId="0" fontId="6" fillId="0" borderId="0" xfId="8" applyFont="1" applyAlignment="1">
      <alignment horizontal="left" vertical="top"/>
    </xf>
    <xf numFmtId="0" fontId="6" fillId="0" borderId="0" xfId="6" applyFont="1" applyAlignment="1">
      <alignment horizontal="left" vertical="top"/>
    </xf>
    <xf numFmtId="0" fontId="6" fillId="0" borderId="0" xfId="6" applyFont="1" applyAlignment="1">
      <alignment horizontal="left" vertical="top" wrapText="1"/>
    </xf>
    <xf numFmtId="165" fontId="6" fillId="2" borderId="0" xfId="0" applyNumberFormat="1" applyFont="1" applyFill="1" applyAlignment="1">
      <alignment horizontal="left" vertical="top" wrapText="1"/>
    </xf>
    <xf numFmtId="0" fontId="17" fillId="0" borderId="0" xfId="6" applyFont="1" applyAlignment="1">
      <alignment horizontal="left" vertical="top" wrapText="1"/>
    </xf>
    <xf numFmtId="0" fontId="6" fillId="2" borderId="0" xfId="0" applyFont="1" applyFill="1" applyAlignment="1">
      <alignment horizontal="left" vertical="top" wrapText="1"/>
    </xf>
    <xf numFmtId="0" fontId="6" fillId="2" borderId="2" xfId="0" applyFont="1" applyFill="1" applyBorder="1" applyAlignment="1">
      <alignment horizontal="left" vertical="top" wrapText="1"/>
    </xf>
  </cellXfs>
  <cellStyles count="9">
    <cellStyle name="Date" xfId="1" xr:uid="{00000000-0005-0000-0000-000000000000}"/>
    <cellStyle name="Fixed" xfId="2" xr:uid="{00000000-0005-0000-0000-000001000000}"/>
    <cellStyle name="HEADING1" xfId="3" xr:uid="{00000000-0005-0000-0000-000002000000}"/>
    <cellStyle name="HEADING2" xfId="4" xr:uid="{00000000-0005-0000-0000-000003000000}"/>
    <cellStyle name="Normal" xfId="0" builtinId="0"/>
    <cellStyle name="Normal 2" xfId="6" xr:uid="{7951CA98-3CC9-45D5-9579-D7FFEF6BB400}"/>
    <cellStyle name="Normal 3" xfId="7" xr:uid="{B764BEC0-89E6-4890-B07E-DE0FE0F5BE42}"/>
    <cellStyle name="Normal 4" xfId="8" xr:uid="{502A76D2-EDB2-4ED8-9C85-C6220F696152}"/>
    <cellStyle name="Total" xfId="5" builtinId="25" customBuiltin="1"/>
  </cellStyles>
  <dxfs count="1">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FIELD &amp; LYSIMETER ALFALFA, ALL CUTS</a:t>
            </a:r>
          </a:p>
        </c:rich>
      </c:tx>
      <c:layout>
        <c:manualLayout>
          <c:xMode val="edge"/>
          <c:yMode val="edge"/>
          <c:x val="0.20218777569121846"/>
          <c:y val="1.9436345966958211E-3"/>
        </c:manualLayout>
      </c:layout>
      <c:overlay val="0"/>
    </c:title>
    <c:autoTitleDeleted val="0"/>
    <c:plotArea>
      <c:layout>
        <c:manualLayout>
          <c:layoutTarget val="inner"/>
          <c:xMode val="edge"/>
          <c:yMode val="edge"/>
          <c:x val="0.12291060374775328"/>
          <c:y val="0.1516041999499616"/>
          <c:w val="0.81633336627900588"/>
          <c:h val="0.70845808822770517"/>
        </c:manualLayout>
      </c:layout>
      <c:scatterChart>
        <c:scatterStyle val="lineMarker"/>
        <c:varyColors val="0"/>
        <c:ser>
          <c:idx val="0"/>
          <c:order val="0"/>
          <c:marker>
            <c:symbol val="none"/>
          </c:marker>
          <c:xVal>
            <c:numRef>
              <c:f>'1996 alfalfa graphing'!$AA$5:$AA$203</c:f>
              <c:numCache>
                <c:formatCode>General</c:formatCode>
                <c:ptCount val="199"/>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numCache>
            </c:numRef>
          </c:xVal>
          <c:yVal>
            <c:numRef>
              <c:f>'1996 alfalfa graphing'!$AB$5:$AB$203</c:f>
              <c:numCache>
                <c:formatCode>General</c:formatCode>
                <c:ptCount val="199"/>
                <c:pt idx="0">
                  <c:v>2</c:v>
                </c:pt>
                <c:pt idx="1">
                  <c:v>1.972898</c:v>
                </c:pt>
                <c:pt idx="2">
                  <c:v>1.949959</c:v>
                </c:pt>
                <c:pt idx="3">
                  <c:v>1.931716</c:v>
                </c:pt>
                <c:pt idx="4">
                  <c:v>1.918703</c:v>
                </c:pt>
                <c:pt idx="5">
                  <c:v>1.9114530000000001</c:v>
                </c:pt>
                <c:pt idx="6">
                  <c:v>1.910498</c:v>
                </c:pt>
                <c:pt idx="7">
                  <c:v>1.916371</c:v>
                </c:pt>
                <c:pt idx="8">
                  <c:v>1.9296059999999999</c:v>
                </c:pt>
                <c:pt idx="9">
                  <c:v>1.9507350000000001</c:v>
                </c:pt>
                <c:pt idx="10">
                  <c:v>1.9802919999999999</c:v>
                </c:pt>
                <c:pt idx="11">
                  <c:v>2.0188090000000001</c:v>
                </c:pt>
                <c:pt idx="12">
                  <c:v>2.0668199999999999</c:v>
                </c:pt>
                <c:pt idx="13">
                  <c:v>2.1248559999999999</c:v>
                </c:pt>
                <c:pt idx="14">
                  <c:v>2.1934529999999999</c:v>
                </c:pt>
                <c:pt idx="15">
                  <c:v>2.2731409999999999</c:v>
                </c:pt>
                <c:pt idx="16">
                  <c:v>2.364455</c:v>
                </c:pt>
                <c:pt idx="17">
                  <c:v>2.467927</c:v>
                </c:pt>
                <c:pt idx="18">
                  <c:v>2.5840900000000002</c:v>
                </c:pt>
                <c:pt idx="19">
                  <c:v>2.7134779999999998</c:v>
                </c:pt>
                <c:pt idx="20">
                  <c:v>2.8566220000000002</c:v>
                </c:pt>
                <c:pt idx="21">
                  <c:v>3.0140570000000002</c:v>
                </c:pt>
                <c:pt idx="22">
                  <c:v>3.186315</c:v>
                </c:pt>
                <c:pt idx="23">
                  <c:v>3.3739300000000001</c:v>
                </c:pt>
                <c:pt idx="24">
                  <c:v>3.5774330000000001</c:v>
                </c:pt>
                <c:pt idx="25">
                  <c:v>3.797358</c:v>
                </c:pt>
                <c:pt idx="26">
                  <c:v>4.0342380000000002</c:v>
                </c:pt>
                <c:pt idx="27">
                  <c:v>4.2886069999999998</c:v>
                </c:pt>
                <c:pt idx="28">
                  <c:v>4.5609960000000003</c:v>
                </c:pt>
                <c:pt idx="29">
                  <c:v>4.8519399999999999</c:v>
                </c:pt>
                <c:pt idx="30">
                  <c:v>5.1619700000000002</c:v>
                </c:pt>
                <c:pt idx="31">
                  <c:v>5.4916210000000003</c:v>
                </c:pt>
                <c:pt idx="32">
                  <c:v>5.8414239999999999</c:v>
                </c:pt>
                <c:pt idx="33">
                  <c:v>6.211913</c:v>
                </c:pt>
                <c:pt idx="34">
                  <c:v>6.6036210000000004</c:v>
                </c:pt>
                <c:pt idx="35">
                  <c:v>7.0170810000000001</c:v>
                </c:pt>
                <c:pt idx="36">
                  <c:v>7.452826</c:v>
                </c:pt>
                <c:pt idx="37">
                  <c:v>7.9113879999999996</c:v>
                </c:pt>
                <c:pt idx="38">
                  <c:v>8.3933020000000003</c:v>
                </c:pt>
                <c:pt idx="39">
                  <c:v>8.8990989999999996</c:v>
                </c:pt>
                <c:pt idx="40">
                  <c:v>9.4293130000000005</c:v>
                </c:pt>
                <c:pt idx="41">
                  <c:v>9.984477</c:v>
                </c:pt>
                <c:pt idx="42">
                  <c:v>10.56512</c:v>
                </c:pt>
                <c:pt idx="43">
                  <c:v>11.17179</c:v>
                </c:pt>
                <c:pt idx="44">
                  <c:v>11.805</c:v>
                </c:pt>
                <c:pt idx="45">
                  <c:v>12.46529</c:v>
                </c:pt>
                <c:pt idx="46">
                  <c:v>13.1532</c:v>
                </c:pt>
                <c:pt idx="47">
                  <c:v>13.869249999999999</c:v>
                </c:pt>
                <c:pt idx="48">
                  <c:v>14.613989999999999</c:v>
                </c:pt>
                <c:pt idx="49">
                  <c:v>15.387930000000001</c:v>
                </c:pt>
                <c:pt idx="50">
                  <c:v>16.19163</c:v>
                </c:pt>
                <c:pt idx="51">
                  <c:v>17.025600000000001</c:v>
                </c:pt>
                <c:pt idx="52">
                  <c:v>17.89039</c:v>
                </c:pt>
                <c:pt idx="53">
                  <c:v>18.786519999999999</c:v>
                </c:pt>
                <c:pt idx="54">
                  <c:v>19.71453</c:v>
                </c:pt>
                <c:pt idx="55">
                  <c:v>20.674959999999999</c:v>
                </c:pt>
                <c:pt idx="56">
                  <c:v>21.650680000000001</c:v>
                </c:pt>
                <c:pt idx="57">
                  <c:v>22.660540000000001</c:v>
                </c:pt>
                <c:pt idx="58">
                  <c:v>23.707450000000001</c:v>
                </c:pt>
                <c:pt idx="59">
                  <c:v>24.794319999999999</c:v>
                </c:pt>
                <c:pt idx="60">
                  <c:v>25.924050000000001</c:v>
                </c:pt>
                <c:pt idx="61">
                  <c:v>27.099550000000001</c:v>
                </c:pt>
                <c:pt idx="62">
                  <c:v>28.323730000000001</c:v>
                </c:pt>
                <c:pt idx="63">
                  <c:v>29.599489999999999</c:v>
                </c:pt>
                <c:pt idx="64">
                  <c:v>30.929739999999999</c:v>
                </c:pt>
                <c:pt idx="65">
                  <c:v>32.317390000000003</c:v>
                </c:pt>
                <c:pt idx="66">
                  <c:v>33.765340000000002</c:v>
                </c:pt>
                <c:pt idx="67">
                  <c:v>35.276490000000003</c:v>
                </c:pt>
                <c:pt idx="68">
                  <c:v>36.853760000000001</c:v>
                </c:pt>
                <c:pt idx="69">
                  <c:v>38.500050000000002</c:v>
                </c:pt>
                <c:pt idx="70">
                  <c:v>40.218269999999997</c:v>
                </c:pt>
                <c:pt idx="71">
                  <c:v>42.007339999999999</c:v>
                </c:pt>
                <c:pt idx="72">
                  <c:v>43.851379999999999</c:v>
                </c:pt>
                <c:pt idx="73">
                  <c:v>45.73021</c:v>
                </c:pt>
                <c:pt idx="74">
                  <c:v>47.623820000000002</c:v>
                </c:pt>
                <c:pt idx="75">
                  <c:v>49.512189999999997</c:v>
                </c:pt>
                <c:pt idx="76">
                  <c:v>51.37529</c:v>
                </c:pt>
                <c:pt idx="77">
                  <c:v>53.193100000000001</c:v>
                </c:pt>
                <c:pt idx="78">
                  <c:v>54.945619999999998</c:v>
                </c:pt>
                <c:pt idx="79">
                  <c:v>56.612810000000003</c:v>
                </c:pt>
                <c:pt idx="80">
                  <c:v>58.174660000000003</c:v>
                </c:pt>
                <c:pt idx="81">
                  <c:v>59.611139999999999</c:v>
                </c:pt>
                <c:pt idx="82">
                  <c:v>60.902250000000002</c:v>
                </c:pt>
                <c:pt idx="83">
                  <c:v>62.027949999999997</c:v>
                </c:pt>
                <c:pt idx="84">
                  <c:v>62.968229999999998</c:v>
                </c:pt>
                <c:pt idx="85">
                  <c:v>63.70308</c:v>
                </c:pt>
                <c:pt idx="86">
                  <c:v>64.212459999999993</c:v>
                </c:pt>
                <c:pt idx="87">
                  <c:v>64.47636</c:v>
                </c:pt>
                <c:pt idx="88">
                  <c:v>64.474760000000003</c:v>
                </c:pt>
                <c:pt idx="89">
                  <c:v>64.474760000000003</c:v>
                </c:pt>
              </c:numCache>
            </c:numRef>
          </c:yVal>
          <c:smooth val="0"/>
          <c:extLst>
            <c:ext xmlns:c16="http://schemas.microsoft.com/office/drawing/2014/chart" uri="{C3380CC4-5D6E-409C-BE32-E72D297353CC}">
              <c16:uniqueId val="{00000000-48D5-410F-8C69-156232E7EC11}"/>
            </c:ext>
          </c:extLst>
        </c:ser>
        <c:ser>
          <c:idx val="1"/>
          <c:order val="1"/>
          <c:spPr>
            <a:ln w="19050">
              <a:noFill/>
            </a:ln>
          </c:spPr>
          <c:xVal>
            <c:numRef>
              <c:f>'1996 alfalfa graphing'!$AA$5:$AA$203</c:f>
              <c:numCache>
                <c:formatCode>General</c:formatCode>
                <c:ptCount val="199"/>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numCache>
            </c:numRef>
          </c:xVal>
          <c:yVal>
            <c:numRef>
              <c:f>'1996 alfalfa graphing'!$AC$5:$AC$203</c:f>
              <c:numCache>
                <c:formatCode>General</c:formatCode>
                <c:ptCount val="199"/>
                <c:pt idx="90">
                  <c:v>2</c:v>
                </c:pt>
                <c:pt idx="91">
                  <c:v>20.399999999999999</c:v>
                </c:pt>
                <c:pt idx="92">
                  <c:v>37.549999999999997</c:v>
                </c:pt>
                <c:pt idx="93">
                  <c:v>63.95</c:v>
                </c:pt>
                <c:pt idx="94">
                  <c:v>2</c:v>
                </c:pt>
                <c:pt idx="95">
                  <c:v>20.95</c:v>
                </c:pt>
                <c:pt idx="96">
                  <c:v>39.450000000000003</c:v>
                </c:pt>
                <c:pt idx="97">
                  <c:v>65</c:v>
                </c:pt>
              </c:numCache>
            </c:numRef>
          </c:yVal>
          <c:smooth val="0"/>
          <c:extLst>
            <c:ext xmlns:c16="http://schemas.microsoft.com/office/drawing/2014/chart" uri="{C3380CC4-5D6E-409C-BE32-E72D297353CC}">
              <c16:uniqueId val="{00000001-48D5-410F-8C69-156232E7EC11}"/>
            </c:ext>
          </c:extLst>
        </c:ser>
        <c:ser>
          <c:idx val="2"/>
          <c:order val="2"/>
          <c:marker>
            <c:symbol val="none"/>
          </c:marker>
          <c:xVal>
            <c:numRef>
              <c:f>'1996 alfalfa graphing'!$AA$5:$AA$203</c:f>
              <c:numCache>
                <c:formatCode>General</c:formatCode>
                <c:ptCount val="199"/>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numCache>
            </c:numRef>
          </c:xVal>
          <c:yVal>
            <c:numRef>
              <c:f>'1996 alfalfa graphing'!$AD$5:$AD$203</c:f>
              <c:numCache>
                <c:formatCode>General</c:formatCode>
                <c:ptCount val="199"/>
                <c:pt idx="98">
                  <c:v>2</c:v>
                </c:pt>
                <c:pt idx="99">
                  <c:v>2.5848909999999998</c:v>
                </c:pt>
                <c:pt idx="100">
                  <c:v>3.347953</c:v>
                </c:pt>
                <c:pt idx="101">
                  <c:v>4.2905509999999998</c:v>
                </c:pt>
                <c:pt idx="102">
                  <c:v>5.4140490000000003</c:v>
                </c:pt>
                <c:pt idx="103">
                  <c:v>6.7198140000000004</c:v>
                </c:pt>
                <c:pt idx="104">
                  <c:v>8.206747</c:v>
                </c:pt>
                <c:pt idx="105">
                  <c:v>9.863899</c:v>
                </c:pt>
                <c:pt idx="106">
                  <c:v>11.677860000000001</c:v>
                </c:pt>
                <c:pt idx="107">
                  <c:v>13.635210000000001</c:v>
                </c:pt>
                <c:pt idx="108">
                  <c:v>15.72254</c:v>
                </c:pt>
                <c:pt idx="109">
                  <c:v>17.926439999999999</c:v>
                </c:pt>
                <c:pt idx="110">
                  <c:v>20.233499999999999</c:v>
                </c:pt>
                <c:pt idx="111">
                  <c:v>22.630289999999999</c:v>
                </c:pt>
                <c:pt idx="112">
                  <c:v>25.10342</c:v>
                </c:pt>
                <c:pt idx="113">
                  <c:v>27.639469999999999</c:v>
                </c:pt>
                <c:pt idx="114">
                  <c:v>30.225020000000001</c:v>
                </c:pt>
                <c:pt idx="115">
                  <c:v>32.84666</c:v>
                </c:pt>
                <c:pt idx="116">
                  <c:v>35.49098</c:v>
                </c:pt>
                <c:pt idx="117">
                  <c:v>38.144570000000002</c:v>
                </c:pt>
                <c:pt idx="118">
                  <c:v>40.79401</c:v>
                </c:pt>
                <c:pt idx="119">
                  <c:v>43.425849999999997</c:v>
                </c:pt>
                <c:pt idx="120">
                  <c:v>46.026519999999998</c:v>
                </c:pt>
                <c:pt idx="121">
                  <c:v>48.582389999999997</c:v>
                </c:pt>
                <c:pt idx="122">
                  <c:v>51.079839999999997</c:v>
                </c:pt>
                <c:pt idx="123">
                  <c:v>53.505240000000001</c:v>
                </c:pt>
                <c:pt idx="124">
                  <c:v>55.844990000000003</c:v>
                </c:pt>
                <c:pt idx="125">
                  <c:v>58.085450000000002</c:v>
                </c:pt>
                <c:pt idx="126">
                  <c:v>60.21302</c:v>
                </c:pt>
                <c:pt idx="127">
                  <c:v>62.214060000000003</c:v>
                </c:pt>
                <c:pt idx="128">
                  <c:v>64.074960000000004</c:v>
                </c:pt>
                <c:pt idx="129">
                  <c:v>65.782089999999997</c:v>
                </c:pt>
                <c:pt idx="130">
                  <c:v>67.321849999999998</c:v>
                </c:pt>
                <c:pt idx="131">
                  <c:v>68.680599999999998</c:v>
                </c:pt>
                <c:pt idx="132">
                  <c:v>69.844719999999995</c:v>
                </c:pt>
                <c:pt idx="133">
                  <c:v>70.800600000000003</c:v>
                </c:pt>
                <c:pt idx="134">
                  <c:v>71.534610000000001</c:v>
                </c:pt>
                <c:pt idx="135">
                  <c:v>72.033140000000003</c:v>
                </c:pt>
                <c:pt idx="136">
                  <c:v>72.282570000000007</c:v>
                </c:pt>
                <c:pt idx="137">
                  <c:v>72.269260000000003</c:v>
                </c:pt>
                <c:pt idx="138">
                  <c:v>71.979609999999994</c:v>
                </c:pt>
                <c:pt idx="139">
                  <c:v>71.400000000000006</c:v>
                </c:pt>
                <c:pt idx="140">
                  <c:v>70.516800000000003</c:v>
                </c:pt>
                <c:pt idx="141">
                  <c:v>69.316389999999998</c:v>
                </c:pt>
                <c:pt idx="142">
                  <c:v>67.785160000000005</c:v>
                </c:pt>
                <c:pt idx="143">
                  <c:v>65.909469999999999</c:v>
                </c:pt>
                <c:pt idx="144">
                  <c:v>63.675719999999998</c:v>
                </c:pt>
                <c:pt idx="145">
                  <c:v>61.070270000000001</c:v>
                </c:pt>
              </c:numCache>
            </c:numRef>
          </c:yVal>
          <c:smooth val="0"/>
          <c:extLst>
            <c:ext xmlns:c16="http://schemas.microsoft.com/office/drawing/2014/chart" uri="{C3380CC4-5D6E-409C-BE32-E72D297353CC}">
              <c16:uniqueId val="{00000002-48D5-410F-8C69-156232E7EC11}"/>
            </c:ext>
          </c:extLst>
        </c:ser>
        <c:ser>
          <c:idx val="3"/>
          <c:order val="3"/>
          <c:spPr>
            <a:ln w="19050">
              <a:noFill/>
            </a:ln>
          </c:spPr>
          <c:marker>
            <c:spPr>
              <a:ln w="9525">
                <a:solidFill>
                  <a:schemeClr val="tx1"/>
                </a:solidFill>
              </a:ln>
            </c:spPr>
          </c:marker>
          <c:xVal>
            <c:numRef>
              <c:f>'1996 alfalfa graphing'!$AA$5:$AA$203</c:f>
              <c:numCache>
                <c:formatCode>General</c:formatCode>
                <c:ptCount val="199"/>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numCache>
            </c:numRef>
          </c:xVal>
          <c:yVal>
            <c:numRef>
              <c:f>'1996 alfalfa graphing'!$AE$5:$AE$203</c:f>
              <c:numCache>
                <c:formatCode>General</c:formatCode>
                <c:ptCount val="199"/>
                <c:pt idx="146">
                  <c:v>2</c:v>
                </c:pt>
                <c:pt idx="147">
                  <c:v>0</c:v>
                </c:pt>
                <c:pt idx="148">
                  <c:v>0</c:v>
                </c:pt>
                <c:pt idx="149">
                  <c:v>0</c:v>
                </c:pt>
                <c:pt idx="150">
                  <c:v>2</c:v>
                </c:pt>
                <c:pt idx="151">
                  <c:v>0</c:v>
                </c:pt>
                <c:pt idx="152">
                  <c:v>0</c:v>
                </c:pt>
                <c:pt idx="153">
                  <c:v>0</c:v>
                </c:pt>
              </c:numCache>
            </c:numRef>
          </c:yVal>
          <c:smooth val="0"/>
          <c:extLst>
            <c:ext xmlns:c16="http://schemas.microsoft.com/office/drawing/2014/chart" uri="{C3380CC4-5D6E-409C-BE32-E72D297353CC}">
              <c16:uniqueId val="{00000003-48D5-410F-8C69-156232E7EC11}"/>
            </c:ext>
          </c:extLst>
        </c:ser>
        <c:ser>
          <c:idx val="4"/>
          <c:order val="4"/>
          <c:marker>
            <c:symbol val="none"/>
          </c:marker>
          <c:xVal>
            <c:numRef>
              <c:f>'1996 alfalfa graphing'!$AA$5:$AA$203</c:f>
              <c:numCache>
                <c:formatCode>General</c:formatCode>
                <c:ptCount val="199"/>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numCache>
            </c:numRef>
          </c:xVal>
          <c:yVal>
            <c:numRef>
              <c:f>'1996 alfalfa graphing'!$AF$5:$AF$203</c:f>
              <c:numCache>
                <c:formatCode>General</c:formatCode>
                <c:ptCount val="199"/>
                <c:pt idx="154">
                  <c:v>2.0000300000000002</c:v>
                </c:pt>
                <c:pt idx="155">
                  <c:v>3.7493989999999999</c:v>
                </c:pt>
                <c:pt idx="156">
                  <c:v>5.6313560000000003</c:v>
                </c:pt>
                <c:pt idx="157">
                  <c:v>7.6326989999999997</c:v>
                </c:pt>
                <c:pt idx="158">
                  <c:v>9.7402320000000007</c:v>
                </c:pt>
                <c:pt idx="159">
                  <c:v>11.94075</c:v>
                </c:pt>
                <c:pt idx="160">
                  <c:v>14.221069999999999</c:v>
                </c:pt>
                <c:pt idx="161">
                  <c:v>16.567969999999999</c:v>
                </c:pt>
                <c:pt idx="162">
                  <c:v>18.96827</c:v>
                </c:pt>
                <c:pt idx="163">
                  <c:v>21.408770000000001</c:v>
                </c:pt>
                <c:pt idx="164">
                  <c:v>23.876259999999998</c:v>
                </c:pt>
                <c:pt idx="165">
                  <c:v>26.35754</c:v>
                </c:pt>
                <c:pt idx="166">
                  <c:v>28.83942</c:v>
                </c:pt>
                <c:pt idx="167">
                  <c:v>31.308700000000002</c:v>
                </c:pt>
                <c:pt idx="168">
                  <c:v>33.752180000000003</c:v>
                </c:pt>
                <c:pt idx="169">
                  <c:v>36.156660000000002</c:v>
                </c:pt>
                <c:pt idx="170">
                  <c:v>38.509450000000001</c:v>
                </c:pt>
                <c:pt idx="171">
                  <c:v>40.799930000000003</c:v>
                </c:pt>
                <c:pt idx="172">
                  <c:v>43.017960000000002</c:v>
                </c:pt>
                <c:pt idx="173">
                  <c:v>45.15343</c:v>
                </c:pt>
                <c:pt idx="174">
                  <c:v>47.196219999999997</c:v>
                </c:pt>
                <c:pt idx="175">
                  <c:v>49.136200000000002</c:v>
                </c:pt>
                <c:pt idx="176">
                  <c:v>50.963250000000002</c:v>
                </c:pt>
                <c:pt idx="177">
                  <c:v>52.667259999999999</c:v>
                </c:pt>
                <c:pt idx="178">
                  <c:v>54.23809</c:v>
                </c:pt>
                <c:pt idx="179">
                  <c:v>55.66563</c:v>
                </c:pt>
                <c:pt idx="180">
                  <c:v>56.933759999999999</c:v>
                </c:pt>
                <c:pt idx="181">
                  <c:v>58.002290000000002</c:v>
                </c:pt>
                <c:pt idx="182">
                  <c:v>58.825040000000001</c:v>
                </c:pt>
                <c:pt idx="183">
                  <c:v>59.355840000000001</c:v>
                </c:pt>
                <c:pt idx="184">
                  <c:v>59.548499999999997</c:v>
                </c:pt>
                <c:pt idx="185">
                  <c:v>59.356830000000002</c:v>
                </c:pt>
                <c:pt idx="186">
                  <c:v>58.734670000000001</c:v>
                </c:pt>
                <c:pt idx="187">
                  <c:v>57.635829999999999</c:v>
                </c:pt>
                <c:pt idx="188">
                  <c:v>56.014119999999998</c:v>
                </c:pt>
                <c:pt idx="189">
                  <c:v>53.823369999999997</c:v>
                </c:pt>
                <c:pt idx="190">
                  <c:v>51.017389999999999</c:v>
                </c:pt>
              </c:numCache>
            </c:numRef>
          </c:yVal>
          <c:smooth val="0"/>
          <c:extLst>
            <c:ext xmlns:c16="http://schemas.microsoft.com/office/drawing/2014/chart" uri="{C3380CC4-5D6E-409C-BE32-E72D297353CC}">
              <c16:uniqueId val="{00000004-48D5-410F-8C69-156232E7EC11}"/>
            </c:ext>
          </c:extLst>
        </c:ser>
        <c:ser>
          <c:idx val="5"/>
          <c:order val="5"/>
          <c:spPr>
            <a:ln w="19050">
              <a:noFill/>
            </a:ln>
          </c:spPr>
          <c:xVal>
            <c:numRef>
              <c:f>'1996 alfalfa graphing'!$AA$5:$AA$203</c:f>
              <c:numCache>
                <c:formatCode>General</c:formatCode>
                <c:ptCount val="199"/>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numCache>
            </c:numRef>
          </c:xVal>
          <c:yVal>
            <c:numRef>
              <c:f>'1996 alfalfa graphing'!$AG$5:$AG$203</c:f>
              <c:numCache>
                <c:formatCode>General</c:formatCode>
                <c:ptCount val="199"/>
                <c:pt idx="191">
                  <c:v>2</c:v>
                </c:pt>
                <c:pt idx="192">
                  <c:v>40.450000000000003</c:v>
                </c:pt>
                <c:pt idx="193">
                  <c:v>59.8</c:v>
                </c:pt>
                <c:pt idx="194">
                  <c:v>48.45</c:v>
                </c:pt>
                <c:pt idx="195">
                  <c:v>2</c:v>
                </c:pt>
                <c:pt idx="196">
                  <c:v>41.15</c:v>
                </c:pt>
                <c:pt idx="197">
                  <c:v>57.85</c:v>
                </c:pt>
                <c:pt idx="198">
                  <c:v>46.65</c:v>
                </c:pt>
              </c:numCache>
            </c:numRef>
          </c:yVal>
          <c:smooth val="0"/>
          <c:extLst>
            <c:ext xmlns:c16="http://schemas.microsoft.com/office/drawing/2014/chart" uri="{C3380CC4-5D6E-409C-BE32-E72D297353CC}">
              <c16:uniqueId val="{00000005-48D5-410F-8C69-156232E7EC11}"/>
            </c:ext>
          </c:extLst>
        </c:ser>
        <c:ser>
          <c:idx val="6"/>
          <c:order val="6"/>
          <c:marker>
            <c:symbol val="none"/>
          </c:marker>
          <c:xVal>
            <c:numRef>
              <c:f>'1996 alfalfa graphing'!$AA$5:$AA$271</c:f>
              <c:numCache>
                <c:formatCode>General</c:formatCode>
                <c:ptCount val="267"/>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pt idx="199">
                  <c:v>228</c:v>
                </c:pt>
                <c:pt idx="200">
                  <c:v>229</c:v>
                </c:pt>
                <c:pt idx="201">
                  <c:v>230</c:v>
                </c:pt>
                <c:pt idx="202">
                  <c:v>231</c:v>
                </c:pt>
                <c:pt idx="203">
                  <c:v>232</c:v>
                </c:pt>
                <c:pt idx="204">
                  <c:v>233</c:v>
                </c:pt>
                <c:pt idx="205">
                  <c:v>234</c:v>
                </c:pt>
                <c:pt idx="206">
                  <c:v>235</c:v>
                </c:pt>
                <c:pt idx="207">
                  <c:v>236</c:v>
                </c:pt>
                <c:pt idx="208">
                  <c:v>237</c:v>
                </c:pt>
                <c:pt idx="209">
                  <c:v>238</c:v>
                </c:pt>
                <c:pt idx="210">
                  <c:v>239</c:v>
                </c:pt>
                <c:pt idx="211">
                  <c:v>240</c:v>
                </c:pt>
                <c:pt idx="212">
                  <c:v>241</c:v>
                </c:pt>
                <c:pt idx="213">
                  <c:v>242</c:v>
                </c:pt>
                <c:pt idx="214">
                  <c:v>243</c:v>
                </c:pt>
                <c:pt idx="215">
                  <c:v>244</c:v>
                </c:pt>
                <c:pt idx="216">
                  <c:v>245</c:v>
                </c:pt>
                <c:pt idx="217">
                  <c:v>246</c:v>
                </c:pt>
                <c:pt idx="218">
                  <c:v>247</c:v>
                </c:pt>
                <c:pt idx="219">
                  <c:v>248</c:v>
                </c:pt>
                <c:pt idx="220">
                  <c:v>249</c:v>
                </c:pt>
                <c:pt idx="221">
                  <c:v>250</c:v>
                </c:pt>
                <c:pt idx="222">
                  <c:v>251</c:v>
                </c:pt>
                <c:pt idx="223">
                  <c:v>252</c:v>
                </c:pt>
                <c:pt idx="224">
                  <c:v>253</c:v>
                </c:pt>
                <c:pt idx="225">
                  <c:v>254</c:v>
                </c:pt>
                <c:pt idx="226">
                  <c:v>255</c:v>
                </c:pt>
                <c:pt idx="227">
                  <c:v>256</c:v>
                </c:pt>
                <c:pt idx="228">
                  <c:v>257</c:v>
                </c:pt>
                <c:pt idx="229">
                  <c:v>258</c:v>
                </c:pt>
                <c:pt idx="230">
                  <c:v>259</c:v>
                </c:pt>
                <c:pt idx="231">
                  <c:v>260</c:v>
                </c:pt>
                <c:pt idx="232">
                  <c:v>261</c:v>
                </c:pt>
                <c:pt idx="233">
                  <c:v>262</c:v>
                </c:pt>
                <c:pt idx="234">
                  <c:v>263</c:v>
                </c:pt>
                <c:pt idx="235">
                  <c:v>264</c:v>
                </c:pt>
                <c:pt idx="236">
                  <c:v>265</c:v>
                </c:pt>
                <c:pt idx="237">
                  <c:v>266</c:v>
                </c:pt>
                <c:pt idx="238">
                  <c:v>267</c:v>
                </c:pt>
                <c:pt idx="239">
                  <c:v>268</c:v>
                </c:pt>
                <c:pt idx="240">
                  <c:v>269</c:v>
                </c:pt>
                <c:pt idx="241">
                  <c:v>270</c:v>
                </c:pt>
                <c:pt idx="242">
                  <c:v>271</c:v>
                </c:pt>
                <c:pt idx="243">
                  <c:v>272</c:v>
                </c:pt>
                <c:pt idx="244">
                  <c:v>273</c:v>
                </c:pt>
                <c:pt idx="245">
                  <c:v>274</c:v>
                </c:pt>
                <c:pt idx="246">
                  <c:v>275</c:v>
                </c:pt>
                <c:pt idx="247">
                  <c:v>276</c:v>
                </c:pt>
                <c:pt idx="248">
                  <c:v>277</c:v>
                </c:pt>
                <c:pt idx="249">
                  <c:v>278</c:v>
                </c:pt>
                <c:pt idx="250">
                  <c:v>279</c:v>
                </c:pt>
                <c:pt idx="251">
                  <c:v>280</c:v>
                </c:pt>
                <c:pt idx="252">
                  <c:v>281</c:v>
                </c:pt>
                <c:pt idx="253">
                  <c:v>282</c:v>
                </c:pt>
                <c:pt idx="254">
                  <c:v>283</c:v>
                </c:pt>
                <c:pt idx="255">
                  <c:v>284</c:v>
                </c:pt>
                <c:pt idx="256">
                  <c:v>285</c:v>
                </c:pt>
                <c:pt idx="257">
                  <c:v>286</c:v>
                </c:pt>
                <c:pt idx="258">
                  <c:v>287</c:v>
                </c:pt>
                <c:pt idx="259">
                  <c:v>228</c:v>
                </c:pt>
                <c:pt idx="260">
                  <c:v>247</c:v>
                </c:pt>
                <c:pt idx="261">
                  <c:v>262</c:v>
                </c:pt>
                <c:pt idx="262">
                  <c:v>281</c:v>
                </c:pt>
                <c:pt idx="263">
                  <c:v>228</c:v>
                </c:pt>
                <c:pt idx="264">
                  <c:v>247</c:v>
                </c:pt>
                <c:pt idx="265">
                  <c:v>262</c:v>
                </c:pt>
                <c:pt idx="266">
                  <c:v>281</c:v>
                </c:pt>
              </c:numCache>
            </c:numRef>
          </c:xVal>
          <c:yVal>
            <c:numRef>
              <c:f>'1996 alfalfa graphing'!$AH$5:$AH$271</c:f>
              <c:numCache>
                <c:formatCode>General</c:formatCode>
                <c:ptCount val="267"/>
                <c:pt idx="199">
                  <c:v>2.0000330000000002</c:v>
                </c:pt>
                <c:pt idx="200">
                  <c:v>4.4522510000000004</c:v>
                </c:pt>
                <c:pt idx="201">
                  <c:v>6.8708600000000004</c:v>
                </c:pt>
                <c:pt idx="202">
                  <c:v>9.2472770000000004</c:v>
                </c:pt>
                <c:pt idx="203">
                  <c:v>11.57292</c:v>
                </c:pt>
                <c:pt idx="204">
                  <c:v>13.839219999999999</c:v>
                </c:pt>
                <c:pt idx="205">
                  <c:v>16.03941</c:v>
                </c:pt>
                <c:pt idx="206">
                  <c:v>18.172139999999999</c:v>
                </c:pt>
                <c:pt idx="207">
                  <c:v>20.23706</c:v>
                </c:pt>
                <c:pt idx="208">
                  <c:v>22.233809999999998</c:v>
                </c:pt>
                <c:pt idx="209">
                  <c:v>24.162050000000001</c:v>
                </c:pt>
                <c:pt idx="210">
                  <c:v>26.021419999999999</c:v>
                </c:pt>
                <c:pt idx="211">
                  <c:v>27.81157</c:v>
                </c:pt>
                <c:pt idx="212">
                  <c:v>29.532150000000001</c:v>
                </c:pt>
                <c:pt idx="213">
                  <c:v>31.18281</c:v>
                </c:pt>
                <c:pt idx="214">
                  <c:v>32.763190000000002</c:v>
                </c:pt>
                <c:pt idx="215">
                  <c:v>34.272950000000002</c:v>
                </c:pt>
                <c:pt idx="216">
                  <c:v>35.711730000000003</c:v>
                </c:pt>
                <c:pt idx="217">
                  <c:v>37.079169999999998</c:v>
                </c:pt>
                <c:pt idx="218">
                  <c:v>38.374940000000002</c:v>
                </c:pt>
                <c:pt idx="219">
                  <c:v>39.598669999999998</c:v>
                </c:pt>
                <c:pt idx="220">
                  <c:v>40.750340000000001</c:v>
                </c:pt>
                <c:pt idx="221">
                  <c:v>41.831760000000003</c:v>
                </c:pt>
                <c:pt idx="222">
                  <c:v>42.845300000000002</c:v>
                </c:pt>
                <c:pt idx="223">
                  <c:v>43.793370000000003</c:v>
                </c:pt>
                <c:pt idx="224">
                  <c:v>44.678359999999998</c:v>
                </c:pt>
                <c:pt idx="225">
                  <c:v>45.502670000000002</c:v>
                </c:pt>
                <c:pt idx="226">
                  <c:v>46.268689999999999</c:v>
                </c:pt>
                <c:pt idx="227">
                  <c:v>46.978819999999999</c:v>
                </c:pt>
                <c:pt idx="228">
                  <c:v>47.635460000000002</c:v>
                </c:pt>
                <c:pt idx="229">
                  <c:v>48.240989999999996</c:v>
                </c:pt>
                <c:pt idx="230">
                  <c:v>48.797820000000002</c:v>
                </c:pt>
                <c:pt idx="231">
                  <c:v>49.308349999999997</c:v>
                </c:pt>
                <c:pt idx="232">
                  <c:v>49.77496</c:v>
                </c:pt>
                <c:pt idx="233">
                  <c:v>50.200060000000001</c:v>
                </c:pt>
                <c:pt idx="234">
                  <c:v>50.586030000000001</c:v>
                </c:pt>
                <c:pt idx="235">
                  <c:v>50.935279999999999</c:v>
                </c:pt>
                <c:pt idx="236">
                  <c:v>51.2502</c:v>
                </c:pt>
                <c:pt idx="237">
                  <c:v>51.533180000000002</c:v>
                </c:pt>
                <c:pt idx="238">
                  <c:v>51.786630000000002</c:v>
                </c:pt>
                <c:pt idx="239">
                  <c:v>52.01294</c:v>
                </c:pt>
                <c:pt idx="240">
                  <c:v>52.214500000000001</c:v>
                </c:pt>
                <c:pt idx="241">
                  <c:v>52.393700000000003</c:v>
                </c:pt>
                <c:pt idx="242">
                  <c:v>52.552959999999999</c:v>
                </c:pt>
                <c:pt idx="243">
                  <c:v>52.694650000000003</c:v>
                </c:pt>
                <c:pt idx="244">
                  <c:v>52.821179999999998</c:v>
                </c:pt>
                <c:pt idx="245">
                  <c:v>52.934939999999997</c:v>
                </c:pt>
                <c:pt idx="246">
                  <c:v>53.038330000000002</c:v>
                </c:pt>
                <c:pt idx="247">
                  <c:v>53.133740000000003</c:v>
                </c:pt>
                <c:pt idx="248">
                  <c:v>53.223570000000002</c:v>
                </c:pt>
                <c:pt idx="249">
                  <c:v>53.310209999999998</c:v>
                </c:pt>
                <c:pt idx="250">
                  <c:v>53.396070000000002</c:v>
                </c:pt>
                <c:pt idx="251">
                  <c:v>53.483530000000002</c:v>
                </c:pt>
                <c:pt idx="252">
                  <c:v>53.575000000000003</c:v>
                </c:pt>
                <c:pt idx="253">
                  <c:v>53.67286</c:v>
                </c:pt>
                <c:pt idx="254">
                  <c:v>53.779510000000002</c:v>
                </c:pt>
                <c:pt idx="255">
                  <c:v>53.897359999999999</c:v>
                </c:pt>
                <c:pt idx="256">
                  <c:v>54.028790000000001</c:v>
                </c:pt>
                <c:pt idx="257">
                  <c:v>54.176200000000001</c:v>
                </c:pt>
                <c:pt idx="258">
                  <c:v>54.34198</c:v>
                </c:pt>
              </c:numCache>
            </c:numRef>
          </c:yVal>
          <c:smooth val="0"/>
          <c:extLst>
            <c:ext xmlns:c16="http://schemas.microsoft.com/office/drawing/2014/chart" uri="{C3380CC4-5D6E-409C-BE32-E72D297353CC}">
              <c16:uniqueId val="{00000002-B597-4ACE-B108-1CFED2D31236}"/>
            </c:ext>
          </c:extLst>
        </c:ser>
        <c:ser>
          <c:idx val="7"/>
          <c:order val="7"/>
          <c:spPr>
            <a:ln>
              <a:noFill/>
            </a:ln>
          </c:spPr>
          <c:marker>
            <c:symbol val="circle"/>
            <c:size val="5"/>
            <c:spPr>
              <a:ln w="12700">
                <a:solidFill>
                  <a:schemeClr val="tx1"/>
                </a:solidFill>
              </a:ln>
            </c:spPr>
          </c:marker>
          <c:xVal>
            <c:numRef>
              <c:f>'1996 alfalfa graphing'!$AA$5:$AA$271</c:f>
              <c:numCache>
                <c:formatCode>General</c:formatCode>
                <c:ptCount val="267"/>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pt idx="199">
                  <c:v>228</c:v>
                </c:pt>
                <c:pt idx="200">
                  <c:v>229</c:v>
                </c:pt>
                <c:pt idx="201">
                  <c:v>230</c:v>
                </c:pt>
                <c:pt idx="202">
                  <c:v>231</c:v>
                </c:pt>
                <c:pt idx="203">
                  <c:v>232</c:v>
                </c:pt>
                <c:pt idx="204">
                  <c:v>233</c:v>
                </c:pt>
                <c:pt idx="205">
                  <c:v>234</c:v>
                </c:pt>
                <c:pt idx="206">
                  <c:v>235</c:v>
                </c:pt>
                <c:pt idx="207">
                  <c:v>236</c:v>
                </c:pt>
                <c:pt idx="208">
                  <c:v>237</c:v>
                </c:pt>
                <c:pt idx="209">
                  <c:v>238</c:v>
                </c:pt>
                <c:pt idx="210">
                  <c:v>239</c:v>
                </c:pt>
                <c:pt idx="211">
                  <c:v>240</c:v>
                </c:pt>
                <c:pt idx="212">
                  <c:v>241</c:v>
                </c:pt>
                <c:pt idx="213">
                  <c:v>242</c:v>
                </c:pt>
                <c:pt idx="214">
                  <c:v>243</c:v>
                </c:pt>
                <c:pt idx="215">
                  <c:v>244</c:v>
                </c:pt>
                <c:pt idx="216">
                  <c:v>245</c:v>
                </c:pt>
                <c:pt idx="217">
                  <c:v>246</c:v>
                </c:pt>
                <c:pt idx="218">
                  <c:v>247</c:v>
                </c:pt>
                <c:pt idx="219">
                  <c:v>248</c:v>
                </c:pt>
                <c:pt idx="220">
                  <c:v>249</c:v>
                </c:pt>
                <c:pt idx="221">
                  <c:v>250</c:v>
                </c:pt>
                <c:pt idx="222">
                  <c:v>251</c:v>
                </c:pt>
                <c:pt idx="223">
                  <c:v>252</c:v>
                </c:pt>
                <c:pt idx="224">
                  <c:v>253</c:v>
                </c:pt>
                <c:pt idx="225">
                  <c:v>254</c:v>
                </c:pt>
                <c:pt idx="226">
                  <c:v>255</c:v>
                </c:pt>
                <c:pt idx="227">
                  <c:v>256</c:v>
                </c:pt>
                <c:pt idx="228">
                  <c:v>257</c:v>
                </c:pt>
                <c:pt idx="229">
                  <c:v>258</c:v>
                </c:pt>
                <c:pt idx="230">
                  <c:v>259</c:v>
                </c:pt>
                <c:pt idx="231">
                  <c:v>260</c:v>
                </c:pt>
                <c:pt idx="232">
                  <c:v>261</c:v>
                </c:pt>
                <c:pt idx="233">
                  <c:v>262</c:v>
                </c:pt>
                <c:pt idx="234">
                  <c:v>263</c:v>
                </c:pt>
                <c:pt idx="235">
                  <c:v>264</c:v>
                </c:pt>
                <c:pt idx="236">
                  <c:v>265</c:v>
                </c:pt>
                <c:pt idx="237">
                  <c:v>266</c:v>
                </c:pt>
                <c:pt idx="238">
                  <c:v>267</c:v>
                </c:pt>
                <c:pt idx="239">
                  <c:v>268</c:v>
                </c:pt>
                <c:pt idx="240">
                  <c:v>269</c:v>
                </c:pt>
                <c:pt idx="241">
                  <c:v>270</c:v>
                </c:pt>
                <c:pt idx="242">
                  <c:v>271</c:v>
                </c:pt>
                <c:pt idx="243">
                  <c:v>272</c:v>
                </c:pt>
                <c:pt idx="244">
                  <c:v>273</c:v>
                </c:pt>
                <c:pt idx="245">
                  <c:v>274</c:v>
                </c:pt>
                <c:pt idx="246">
                  <c:v>275</c:v>
                </c:pt>
                <c:pt idx="247">
                  <c:v>276</c:v>
                </c:pt>
                <c:pt idx="248">
                  <c:v>277</c:v>
                </c:pt>
                <c:pt idx="249">
                  <c:v>278</c:v>
                </c:pt>
                <c:pt idx="250">
                  <c:v>279</c:v>
                </c:pt>
                <c:pt idx="251">
                  <c:v>280</c:v>
                </c:pt>
                <c:pt idx="252">
                  <c:v>281</c:v>
                </c:pt>
                <c:pt idx="253">
                  <c:v>282</c:v>
                </c:pt>
                <c:pt idx="254">
                  <c:v>283</c:v>
                </c:pt>
                <c:pt idx="255">
                  <c:v>284</c:v>
                </c:pt>
                <c:pt idx="256">
                  <c:v>285</c:v>
                </c:pt>
                <c:pt idx="257">
                  <c:v>286</c:v>
                </c:pt>
                <c:pt idx="258">
                  <c:v>287</c:v>
                </c:pt>
                <c:pt idx="259">
                  <c:v>228</c:v>
                </c:pt>
                <c:pt idx="260">
                  <c:v>247</c:v>
                </c:pt>
                <c:pt idx="261">
                  <c:v>262</c:v>
                </c:pt>
                <c:pt idx="262">
                  <c:v>281</c:v>
                </c:pt>
                <c:pt idx="263">
                  <c:v>228</c:v>
                </c:pt>
                <c:pt idx="264">
                  <c:v>247</c:v>
                </c:pt>
                <c:pt idx="265">
                  <c:v>262</c:v>
                </c:pt>
                <c:pt idx="266">
                  <c:v>281</c:v>
                </c:pt>
              </c:numCache>
            </c:numRef>
          </c:xVal>
          <c:yVal>
            <c:numRef>
              <c:f>'1996 alfalfa graphing'!$AI$5:$AI$271</c:f>
              <c:numCache>
                <c:formatCode>General</c:formatCode>
                <c:ptCount val="267"/>
                <c:pt idx="259">
                  <c:v>2</c:v>
                </c:pt>
                <c:pt idx="260">
                  <c:v>37.5</c:v>
                </c:pt>
                <c:pt idx="261">
                  <c:v>51.6</c:v>
                </c:pt>
                <c:pt idx="262">
                  <c:v>53.55</c:v>
                </c:pt>
                <c:pt idx="263">
                  <c:v>2</c:v>
                </c:pt>
                <c:pt idx="264">
                  <c:v>39.25</c:v>
                </c:pt>
                <c:pt idx="265">
                  <c:v>48.8</c:v>
                </c:pt>
                <c:pt idx="266">
                  <c:v>53.6</c:v>
                </c:pt>
              </c:numCache>
            </c:numRef>
          </c:yVal>
          <c:smooth val="0"/>
          <c:extLst>
            <c:ext xmlns:c16="http://schemas.microsoft.com/office/drawing/2014/chart" uri="{C3380CC4-5D6E-409C-BE32-E72D297353CC}">
              <c16:uniqueId val="{00000003-B597-4ACE-B108-1CFED2D31236}"/>
            </c:ext>
          </c:extLst>
        </c:ser>
        <c:dLbls>
          <c:showLegendKey val="0"/>
          <c:showVal val="0"/>
          <c:showCatName val="0"/>
          <c:showSerName val="0"/>
          <c:showPercent val="0"/>
          <c:showBubbleSize val="0"/>
        </c:dLbls>
        <c:axId val="1427693088"/>
        <c:axId val="1"/>
      </c:scatterChart>
      <c:valAx>
        <c:axId val="1427693088"/>
        <c:scaling>
          <c:orientation val="minMax"/>
          <c:max val="300"/>
          <c:min val="50"/>
        </c:scaling>
        <c:delete val="0"/>
        <c:axPos val="b"/>
        <c:title>
          <c:tx>
            <c:rich>
              <a:bodyPr/>
              <a:lstStyle/>
              <a:p>
                <a:pPr>
                  <a:defRPr/>
                </a:pPr>
                <a:r>
                  <a:rPr lang="en-US"/>
                  <a:t>DAY OF YEAR, 1996</a:t>
                </a:r>
              </a:p>
            </c:rich>
          </c:tx>
          <c:layout>
            <c:manualLayout>
              <c:xMode val="edge"/>
              <c:yMode val="edge"/>
              <c:x val="0.51392595650943129"/>
              <c:y val="0.90962519969976963"/>
            </c:manualLayout>
          </c:layout>
          <c:overlay val="0"/>
        </c:title>
        <c:numFmt formatCode="General" sourceLinked="1"/>
        <c:majorTickMark val="cross"/>
        <c:minorTickMark val="none"/>
        <c:tickLblPos val="nextTo"/>
        <c:txPr>
          <a:bodyPr rot="0" vert="horz"/>
          <a:lstStyle/>
          <a:p>
            <a:pPr>
              <a:defRPr/>
            </a:pPr>
            <a:endParaRPr lang="en-US"/>
          </a:p>
        </c:txPr>
        <c:crossAx val="1"/>
        <c:crosses val="autoZero"/>
        <c:crossBetween val="midCat"/>
      </c:valAx>
      <c:valAx>
        <c:axId val="1"/>
        <c:scaling>
          <c:orientation val="minMax"/>
        </c:scaling>
        <c:delete val="0"/>
        <c:axPos val="l"/>
        <c:majorGridlines/>
        <c:title>
          <c:tx>
            <c:rich>
              <a:bodyPr rot="-5400000" vert="horz"/>
              <a:lstStyle/>
              <a:p>
                <a:pPr>
                  <a:defRPr/>
                </a:pPr>
                <a:r>
                  <a:rPr lang="en-US"/>
                  <a:t>PLANT HEIGHT (cm)</a:t>
                </a:r>
              </a:p>
            </c:rich>
          </c:tx>
          <c:layout>
            <c:manualLayout>
              <c:xMode val="edge"/>
              <c:yMode val="edge"/>
              <c:x val="3.0958530183727039E-2"/>
              <c:y val="0.27794204295891584"/>
            </c:manualLayout>
          </c:layout>
          <c:overlay val="0"/>
        </c:title>
        <c:numFmt formatCode="General" sourceLinked="1"/>
        <c:majorTickMark val="cross"/>
        <c:minorTickMark val="none"/>
        <c:tickLblPos val="nextTo"/>
        <c:txPr>
          <a:bodyPr rot="0" vert="horz"/>
          <a:lstStyle/>
          <a:p>
            <a:pPr>
              <a:defRPr/>
            </a:pPr>
            <a:endParaRPr lang="en-US"/>
          </a:p>
        </c:txPr>
        <c:crossAx val="1427693088"/>
        <c:crosses val="autoZero"/>
        <c:crossBetween val="midCat"/>
      </c:valAx>
    </c:plotArea>
    <c:plotVisOnly val="0"/>
    <c:dispBlanksAs val="gap"/>
    <c:showDLblsOverMax val="0"/>
  </c:chart>
  <c:printSettings>
    <c:headerFooter alignWithMargins="0"/>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ALFALFA</a:t>
            </a:r>
          </a:p>
        </c:rich>
      </c:tx>
      <c:layout>
        <c:manualLayout>
          <c:xMode val="edge"/>
          <c:yMode val="edge"/>
          <c:x val="0.429294781964835"/>
          <c:y val="4.0697674418604654E-2"/>
        </c:manualLayout>
      </c:layout>
      <c:overlay val="0"/>
    </c:title>
    <c:autoTitleDeleted val="0"/>
    <c:plotArea>
      <c:layout>
        <c:manualLayout>
          <c:layoutTarget val="inner"/>
          <c:xMode val="edge"/>
          <c:yMode val="edge"/>
          <c:x val="0.11466737258701029"/>
          <c:y val="0.16279069767441862"/>
          <c:w val="0.8092422996481663"/>
          <c:h val="0.65116279069767447"/>
        </c:manualLayout>
      </c:layout>
      <c:scatterChart>
        <c:scatterStyle val="lineMarker"/>
        <c:varyColors val="0"/>
        <c:ser>
          <c:idx val="0"/>
          <c:order val="0"/>
          <c:tx>
            <c:v>LAI</c:v>
          </c:tx>
          <c:marker>
            <c:symbol val="none"/>
          </c:marker>
          <c:xVal>
            <c:numRef>
              <c:f>'1996 alfalfa graphing'!$AT$5:$AT$259</c:f>
              <c:numCache>
                <c:formatCode>General</c:formatCode>
                <c:ptCount val="255"/>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143</c:v>
                </c:pt>
                <c:pt idx="91">
                  <c:v>144</c:v>
                </c:pt>
                <c:pt idx="92">
                  <c:v>145</c:v>
                </c:pt>
                <c:pt idx="93">
                  <c:v>146</c:v>
                </c:pt>
                <c:pt idx="94">
                  <c:v>147</c:v>
                </c:pt>
                <c:pt idx="95">
                  <c:v>148</c:v>
                </c:pt>
                <c:pt idx="96">
                  <c:v>149</c:v>
                </c:pt>
                <c:pt idx="97">
                  <c:v>150</c:v>
                </c:pt>
                <c:pt idx="98">
                  <c:v>151</c:v>
                </c:pt>
                <c:pt idx="99">
                  <c:v>152</c:v>
                </c:pt>
                <c:pt idx="100">
                  <c:v>153</c:v>
                </c:pt>
                <c:pt idx="101">
                  <c:v>154</c:v>
                </c:pt>
                <c:pt idx="102">
                  <c:v>155</c:v>
                </c:pt>
                <c:pt idx="103">
                  <c:v>156</c:v>
                </c:pt>
                <c:pt idx="104">
                  <c:v>157</c:v>
                </c:pt>
                <c:pt idx="105">
                  <c:v>158</c:v>
                </c:pt>
                <c:pt idx="106">
                  <c:v>159</c:v>
                </c:pt>
                <c:pt idx="107">
                  <c:v>160</c:v>
                </c:pt>
                <c:pt idx="108">
                  <c:v>161</c:v>
                </c:pt>
                <c:pt idx="109">
                  <c:v>162</c:v>
                </c:pt>
                <c:pt idx="110">
                  <c:v>163</c:v>
                </c:pt>
                <c:pt idx="111">
                  <c:v>164</c:v>
                </c:pt>
                <c:pt idx="112">
                  <c:v>165</c:v>
                </c:pt>
                <c:pt idx="113">
                  <c:v>166</c:v>
                </c:pt>
                <c:pt idx="114">
                  <c:v>167</c:v>
                </c:pt>
                <c:pt idx="115">
                  <c:v>168</c:v>
                </c:pt>
                <c:pt idx="116">
                  <c:v>169</c:v>
                </c:pt>
                <c:pt idx="117">
                  <c:v>170</c:v>
                </c:pt>
                <c:pt idx="118">
                  <c:v>171</c:v>
                </c:pt>
                <c:pt idx="119">
                  <c:v>172</c:v>
                </c:pt>
                <c:pt idx="120">
                  <c:v>173</c:v>
                </c:pt>
                <c:pt idx="121">
                  <c:v>174</c:v>
                </c:pt>
                <c:pt idx="122">
                  <c:v>175</c:v>
                </c:pt>
                <c:pt idx="123">
                  <c:v>176</c:v>
                </c:pt>
                <c:pt idx="124">
                  <c:v>177</c:v>
                </c:pt>
                <c:pt idx="125">
                  <c:v>178</c:v>
                </c:pt>
                <c:pt idx="126">
                  <c:v>179</c:v>
                </c:pt>
                <c:pt idx="127">
                  <c:v>180</c:v>
                </c:pt>
                <c:pt idx="128">
                  <c:v>181</c:v>
                </c:pt>
                <c:pt idx="129">
                  <c:v>182</c:v>
                </c:pt>
                <c:pt idx="130">
                  <c:v>183</c:v>
                </c:pt>
                <c:pt idx="131">
                  <c:v>184</c:v>
                </c:pt>
                <c:pt idx="132">
                  <c:v>185</c:v>
                </c:pt>
                <c:pt idx="133">
                  <c:v>186</c:v>
                </c:pt>
                <c:pt idx="134">
                  <c:v>187</c:v>
                </c:pt>
                <c:pt idx="135">
                  <c:v>188</c:v>
                </c:pt>
                <c:pt idx="136">
                  <c:v>189</c:v>
                </c:pt>
                <c:pt idx="137">
                  <c:v>190</c:v>
                </c:pt>
                <c:pt idx="138">
                  <c:v>191</c:v>
                </c:pt>
                <c:pt idx="139">
                  <c:v>192</c:v>
                </c:pt>
                <c:pt idx="140">
                  <c:v>193</c:v>
                </c:pt>
                <c:pt idx="141">
                  <c:v>194</c:v>
                </c:pt>
                <c:pt idx="142">
                  <c:v>195</c:v>
                </c:pt>
                <c:pt idx="143">
                  <c:v>196</c:v>
                </c:pt>
                <c:pt idx="144">
                  <c:v>197</c:v>
                </c:pt>
                <c:pt idx="145">
                  <c:v>198</c:v>
                </c:pt>
                <c:pt idx="146">
                  <c:v>199</c:v>
                </c:pt>
                <c:pt idx="147">
                  <c:v>200</c:v>
                </c:pt>
                <c:pt idx="148">
                  <c:v>201</c:v>
                </c:pt>
                <c:pt idx="149">
                  <c:v>202</c:v>
                </c:pt>
                <c:pt idx="150">
                  <c:v>203</c:v>
                </c:pt>
                <c:pt idx="151">
                  <c:v>204</c:v>
                </c:pt>
                <c:pt idx="152">
                  <c:v>205</c:v>
                </c:pt>
                <c:pt idx="153">
                  <c:v>206</c:v>
                </c:pt>
                <c:pt idx="154">
                  <c:v>207</c:v>
                </c:pt>
                <c:pt idx="155">
                  <c:v>208</c:v>
                </c:pt>
                <c:pt idx="156">
                  <c:v>209</c:v>
                </c:pt>
                <c:pt idx="157">
                  <c:v>210</c:v>
                </c:pt>
                <c:pt idx="158">
                  <c:v>211</c:v>
                </c:pt>
                <c:pt idx="159">
                  <c:v>212</c:v>
                </c:pt>
                <c:pt idx="160">
                  <c:v>213</c:v>
                </c:pt>
                <c:pt idx="161">
                  <c:v>214</c:v>
                </c:pt>
                <c:pt idx="162">
                  <c:v>215</c:v>
                </c:pt>
                <c:pt idx="163">
                  <c:v>216</c:v>
                </c:pt>
                <c:pt idx="164">
                  <c:v>217</c:v>
                </c:pt>
                <c:pt idx="165">
                  <c:v>218</c:v>
                </c:pt>
                <c:pt idx="166">
                  <c:v>219</c:v>
                </c:pt>
                <c:pt idx="167">
                  <c:v>220</c:v>
                </c:pt>
                <c:pt idx="168">
                  <c:v>221</c:v>
                </c:pt>
                <c:pt idx="169">
                  <c:v>222</c:v>
                </c:pt>
                <c:pt idx="170">
                  <c:v>223</c:v>
                </c:pt>
                <c:pt idx="171">
                  <c:v>224</c:v>
                </c:pt>
                <c:pt idx="172">
                  <c:v>225</c:v>
                </c:pt>
                <c:pt idx="173">
                  <c:v>226</c:v>
                </c:pt>
                <c:pt idx="174">
                  <c:v>227</c:v>
                </c:pt>
                <c:pt idx="175">
                  <c:v>228</c:v>
                </c:pt>
                <c:pt idx="176">
                  <c:v>229</c:v>
                </c:pt>
                <c:pt idx="177">
                  <c:v>230</c:v>
                </c:pt>
                <c:pt idx="178">
                  <c:v>231</c:v>
                </c:pt>
                <c:pt idx="179">
                  <c:v>232</c:v>
                </c:pt>
                <c:pt idx="180">
                  <c:v>233</c:v>
                </c:pt>
                <c:pt idx="181">
                  <c:v>234</c:v>
                </c:pt>
                <c:pt idx="182">
                  <c:v>235</c:v>
                </c:pt>
                <c:pt idx="183">
                  <c:v>236</c:v>
                </c:pt>
                <c:pt idx="184">
                  <c:v>237</c:v>
                </c:pt>
                <c:pt idx="185">
                  <c:v>238</c:v>
                </c:pt>
                <c:pt idx="186">
                  <c:v>239</c:v>
                </c:pt>
                <c:pt idx="187">
                  <c:v>240</c:v>
                </c:pt>
                <c:pt idx="188">
                  <c:v>241</c:v>
                </c:pt>
                <c:pt idx="189">
                  <c:v>242</c:v>
                </c:pt>
                <c:pt idx="190">
                  <c:v>243</c:v>
                </c:pt>
                <c:pt idx="191">
                  <c:v>244</c:v>
                </c:pt>
                <c:pt idx="192">
                  <c:v>245</c:v>
                </c:pt>
                <c:pt idx="193">
                  <c:v>246</c:v>
                </c:pt>
                <c:pt idx="194">
                  <c:v>247</c:v>
                </c:pt>
                <c:pt idx="195">
                  <c:v>248</c:v>
                </c:pt>
                <c:pt idx="196">
                  <c:v>249</c:v>
                </c:pt>
                <c:pt idx="197">
                  <c:v>250</c:v>
                </c:pt>
                <c:pt idx="198">
                  <c:v>251</c:v>
                </c:pt>
                <c:pt idx="199">
                  <c:v>252</c:v>
                </c:pt>
                <c:pt idx="200">
                  <c:v>253</c:v>
                </c:pt>
                <c:pt idx="201">
                  <c:v>254</c:v>
                </c:pt>
                <c:pt idx="202">
                  <c:v>255</c:v>
                </c:pt>
                <c:pt idx="203">
                  <c:v>256</c:v>
                </c:pt>
                <c:pt idx="204">
                  <c:v>257</c:v>
                </c:pt>
                <c:pt idx="205">
                  <c:v>258</c:v>
                </c:pt>
                <c:pt idx="206">
                  <c:v>259</c:v>
                </c:pt>
                <c:pt idx="207">
                  <c:v>260</c:v>
                </c:pt>
                <c:pt idx="208">
                  <c:v>261</c:v>
                </c:pt>
                <c:pt idx="209">
                  <c:v>262</c:v>
                </c:pt>
                <c:pt idx="210">
                  <c:v>263</c:v>
                </c:pt>
                <c:pt idx="211">
                  <c:v>264</c:v>
                </c:pt>
                <c:pt idx="212">
                  <c:v>265</c:v>
                </c:pt>
                <c:pt idx="213">
                  <c:v>266</c:v>
                </c:pt>
                <c:pt idx="214">
                  <c:v>267</c:v>
                </c:pt>
                <c:pt idx="215">
                  <c:v>268</c:v>
                </c:pt>
                <c:pt idx="216">
                  <c:v>269</c:v>
                </c:pt>
                <c:pt idx="217">
                  <c:v>270</c:v>
                </c:pt>
                <c:pt idx="218">
                  <c:v>271</c:v>
                </c:pt>
                <c:pt idx="219">
                  <c:v>272</c:v>
                </c:pt>
                <c:pt idx="220">
                  <c:v>273</c:v>
                </c:pt>
                <c:pt idx="221">
                  <c:v>274</c:v>
                </c:pt>
                <c:pt idx="222">
                  <c:v>275</c:v>
                </c:pt>
                <c:pt idx="223">
                  <c:v>276</c:v>
                </c:pt>
                <c:pt idx="224">
                  <c:v>277</c:v>
                </c:pt>
                <c:pt idx="225">
                  <c:v>278</c:v>
                </c:pt>
                <c:pt idx="226">
                  <c:v>279</c:v>
                </c:pt>
                <c:pt idx="227">
                  <c:v>280</c:v>
                </c:pt>
                <c:pt idx="228">
                  <c:v>281</c:v>
                </c:pt>
                <c:pt idx="229">
                  <c:v>282</c:v>
                </c:pt>
                <c:pt idx="230">
                  <c:v>283</c:v>
                </c:pt>
                <c:pt idx="231">
                  <c:v>284</c:v>
                </c:pt>
                <c:pt idx="232">
                  <c:v>285</c:v>
                </c:pt>
                <c:pt idx="233">
                  <c:v>286</c:v>
                </c:pt>
                <c:pt idx="234">
                  <c:v>287</c:v>
                </c:pt>
                <c:pt idx="235">
                  <c:v>53</c:v>
                </c:pt>
                <c:pt idx="236">
                  <c:v>108</c:v>
                </c:pt>
                <c:pt idx="237">
                  <c:v>122</c:v>
                </c:pt>
                <c:pt idx="238">
                  <c:v>141</c:v>
                </c:pt>
                <c:pt idx="239">
                  <c:v>142</c:v>
                </c:pt>
                <c:pt idx="240">
                  <c:v>142</c:v>
                </c:pt>
                <c:pt idx="241">
                  <c:v>158</c:v>
                </c:pt>
                <c:pt idx="242">
                  <c:v>172</c:v>
                </c:pt>
                <c:pt idx="243">
                  <c:v>183</c:v>
                </c:pt>
                <c:pt idx="244">
                  <c:v>190</c:v>
                </c:pt>
                <c:pt idx="245">
                  <c:v>190</c:v>
                </c:pt>
                <c:pt idx="246">
                  <c:v>207</c:v>
                </c:pt>
                <c:pt idx="247">
                  <c:v>218</c:v>
                </c:pt>
                <c:pt idx="248">
                  <c:v>227</c:v>
                </c:pt>
                <c:pt idx="249">
                  <c:v>228</c:v>
                </c:pt>
                <c:pt idx="250">
                  <c:v>228</c:v>
                </c:pt>
                <c:pt idx="251">
                  <c:v>247</c:v>
                </c:pt>
                <c:pt idx="252">
                  <c:v>262</c:v>
                </c:pt>
                <c:pt idx="253">
                  <c:v>281</c:v>
                </c:pt>
                <c:pt idx="254">
                  <c:v>281</c:v>
                </c:pt>
              </c:numCache>
            </c:numRef>
          </c:xVal>
          <c:yVal>
            <c:numRef>
              <c:f>'1996 alfalfa graphing'!$AU$5:$AU$259</c:f>
              <c:numCache>
                <c:formatCode>General</c:formatCode>
                <c:ptCount val="255"/>
                <c:pt idx="0">
                  <c:v>0</c:v>
                </c:pt>
                <c:pt idx="1">
                  <c:v>1.285823E-2</c:v>
                </c:pt>
                <c:pt idx="2">
                  <c:v>2.4322839999999998E-2</c:v>
                </c:pt>
                <c:pt idx="3">
                  <c:v>3.4598980000000001E-2</c:v>
                </c:pt>
                <c:pt idx="4">
                  <c:v>4.3892960000000002E-2</c:v>
                </c:pt>
                <c:pt idx="5">
                  <c:v>5.2411079999999999E-2</c:v>
                </c:pt>
                <c:pt idx="6">
                  <c:v>6.0359650000000001E-2</c:v>
                </c:pt>
                <c:pt idx="7">
                  <c:v>6.7944980000000002E-2</c:v>
                </c:pt>
                <c:pt idx="8">
                  <c:v>7.5373369999999995E-2</c:v>
                </c:pt>
                <c:pt idx="9">
                  <c:v>8.2851140000000004E-2</c:v>
                </c:pt>
                <c:pt idx="10">
                  <c:v>9.0584590000000006E-2</c:v>
                </c:pt>
                <c:pt idx="11">
                  <c:v>9.8780019999999996E-2</c:v>
                </c:pt>
                <c:pt idx="12">
                  <c:v>0.1076438</c:v>
                </c:pt>
                <c:pt idx="13">
                  <c:v>0.1173821</c:v>
                </c:pt>
                <c:pt idx="14">
                  <c:v>0.12820129999999999</c:v>
                </c:pt>
                <c:pt idx="15">
                  <c:v>0.14030780000000001</c:v>
                </c:pt>
                <c:pt idx="16">
                  <c:v>0.15390780000000001</c:v>
                </c:pt>
                <c:pt idx="17">
                  <c:v>0.16920760000000001</c:v>
                </c:pt>
                <c:pt idx="18">
                  <c:v>0.18641350000000001</c:v>
                </c:pt>
                <c:pt idx="19">
                  <c:v>0.2057319</c:v>
                </c:pt>
                <c:pt idx="20">
                  <c:v>0.22736899999999999</c:v>
                </c:pt>
                <c:pt idx="21">
                  <c:v>0.25153120000000001</c:v>
                </c:pt>
                <c:pt idx="22">
                  <c:v>0.27842479999999997</c:v>
                </c:pt>
                <c:pt idx="23">
                  <c:v>0.30825609999999998</c:v>
                </c:pt>
                <c:pt idx="24">
                  <c:v>0.34123130000000002</c:v>
                </c:pt>
                <c:pt idx="25">
                  <c:v>0.37755680000000003</c:v>
                </c:pt>
                <c:pt idx="26">
                  <c:v>0.4174389</c:v>
                </c:pt>
                <c:pt idx="27">
                  <c:v>0.46108389999999999</c:v>
                </c:pt>
                <c:pt idx="28">
                  <c:v>0.50869810000000004</c:v>
                </c:pt>
                <c:pt idx="29">
                  <c:v>0.56048790000000004</c:v>
                </c:pt>
                <c:pt idx="30">
                  <c:v>0.61665939999999997</c:v>
                </c:pt>
                <c:pt idx="31">
                  <c:v>0.67741910000000005</c:v>
                </c:pt>
                <c:pt idx="32">
                  <c:v>0.74297329999999995</c:v>
                </c:pt>
                <c:pt idx="33">
                  <c:v>0.81352809999999998</c:v>
                </c:pt>
                <c:pt idx="34">
                  <c:v>0.88929000000000002</c:v>
                </c:pt>
                <c:pt idx="35">
                  <c:v>0.97046540000000003</c:v>
                </c:pt>
                <c:pt idx="36">
                  <c:v>1.0572600000000001</c:v>
                </c:pt>
                <c:pt idx="37">
                  <c:v>1.1498809999999999</c:v>
                </c:pt>
                <c:pt idx="38">
                  <c:v>1.248534</c:v>
                </c:pt>
                <c:pt idx="39">
                  <c:v>1.353426</c:v>
                </c:pt>
                <c:pt idx="40">
                  <c:v>1.464763</c:v>
                </c:pt>
                <c:pt idx="41">
                  <c:v>1.582751</c:v>
                </c:pt>
                <c:pt idx="42">
                  <c:v>1.7075959999999999</c:v>
                </c:pt>
                <c:pt idx="43">
                  <c:v>1.8395049999999999</c:v>
                </c:pt>
                <c:pt idx="44">
                  <c:v>1.978685</c:v>
                </c:pt>
                <c:pt idx="45">
                  <c:v>2.1253410000000001</c:v>
                </c:pt>
                <c:pt idx="46">
                  <c:v>2.2796789999999998</c:v>
                </c:pt>
                <c:pt idx="47">
                  <c:v>2.441907</c:v>
                </c:pt>
                <c:pt idx="48">
                  <c:v>2.6122299999999998</c:v>
                </c:pt>
                <c:pt idx="49">
                  <c:v>2.7908539999999999</c:v>
                </c:pt>
                <c:pt idx="50">
                  <c:v>2.9779870000000002</c:v>
                </c:pt>
                <c:pt idx="51">
                  <c:v>3.173397</c:v>
                </c:pt>
                <c:pt idx="52">
                  <c:v>3.375035</c:v>
                </c:pt>
                <c:pt idx="53">
                  <c:v>3.580435</c:v>
                </c:pt>
                <c:pt idx="54">
                  <c:v>3.787121</c:v>
                </c:pt>
                <c:pt idx="55">
                  <c:v>3.9926179999999998</c:v>
                </c:pt>
                <c:pt idx="56">
                  <c:v>4.1944480000000004</c:v>
                </c:pt>
                <c:pt idx="57">
                  <c:v>4.3905320000000003</c:v>
                </c:pt>
                <c:pt idx="58">
                  <c:v>4.5803859999999998</c:v>
                </c:pt>
                <c:pt idx="59">
                  <c:v>4.7639189999999996</c:v>
                </c:pt>
                <c:pt idx="60">
                  <c:v>4.9410429999999996</c:v>
                </c:pt>
                <c:pt idx="61">
                  <c:v>5.1116669999999997</c:v>
                </c:pt>
                <c:pt idx="62">
                  <c:v>5.275703</c:v>
                </c:pt>
                <c:pt idx="63">
                  <c:v>5.4330610000000004</c:v>
                </c:pt>
                <c:pt idx="64">
                  <c:v>5.583653</c:v>
                </c:pt>
                <c:pt idx="65">
                  <c:v>5.7273889999999996</c:v>
                </c:pt>
                <c:pt idx="66">
                  <c:v>5.8641800000000002</c:v>
                </c:pt>
                <c:pt idx="67">
                  <c:v>5.9939359999999997</c:v>
                </c:pt>
                <c:pt idx="68">
                  <c:v>6.1165700000000003</c:v>
                </c:pt>
                <c:pt idx="69">
                  <c:v>6.2319899999999997</c:v>
                </c:pt>
                <c:pt idx="70">
                  <c:v>6.3401079999999999</c:v>
                </c:pt>
                <c:pt idx="71">
                  <c:v>6.440836</c:v>
                </c:pt>
                <c:pt idx="72">
                  <c:v>6.534084</c:v>
                </c:pt>
                <c:pt idx="73">
                  <c:v>6.6197619999999997</c:v>
                </c:pt>
                <c:pt idx="74">
                  <c:v>6.6977820000000001</c:v>
                </c:pt>
                <c:pt idx="75">
                  <c:v>6.7680530000000001</c:v>
                </c:pt>
                <c:pt idx="76">
                  <c:v>6.8304879999999999</c:v>
                </c:pt>
                <c:pt idx="77">
                  <c:v>6.8849960000000001</c:v>
                </c:pt>
                <c:pt idx="78">
                  <c:v>6.931489</c:v>
                </c:pt>
                <c:pt idx="79">
                  <c:v>6.9698779999999996</c:v>
                </c:pt>
                <c:pt idx="80">
                  <c:v>7.0000730000000004</c:v>
                </c:pt>
                <c:pt idx="81">
                  <c:v>7.0219849999999999</c:v>
                </c:pt>
                <c:pt idx="82">
                  <c:v>7.0355249999999998</c:v>
                </c:pt>
                <c:pt idx="83">
                  <c:v>7.0406040000000001</c:v>
                </c:pt>
                <c:pt idx="84">
                  <c:v>7.0371319999999997</c:v>
                </c:pt>
                <c:pt idx="85">
                  <c:v>7.0250199999999996</c:v>
                </c:pt>
                <c:pt idx="86">
                  <c:v>7.0041789999999997</c:v>
                </c:pt>
                <c:pt idx="87">
                  <c:v>6.9745210000000002</c:v>
                </c:pt>
                <c:pt idx="88">
                  <c:v>6.9359549999999999</c:v>
                </c:pt>
                <c:pt idx="89">
                  <c:v>0</c:v>
                </c:pt>
                <c:pt idx="90">
                  <c:v>0.1688103</c:v>
                </c:pt>
                <c:pt idx="91">
                  <c:v>0.35187889999999999</c:v>
                </c:pt>
                <c:pt idx="92">
                  <c:v>0.54697629999999997</c:v>
                </c:pt>
                <c:pt idx="93">
                  <c:v>0.75187079999999995</c:v>
                </c:pt>
                <c:pt idx="94">
                  <c:v>0.96433069999999999</c:v>
                </c:pt>
                <c:pt idx="95">
                  <c:v>1.1821250000000001</c:v>
                </c:pt>
                <c:pt idx="96">
                  <c:v>1.4030210000000001</c:v>
                </c:pt>
                <c:pt idx="97">
                  <c:v>1.6247879999999999</c:v>
                </c:pt>
                <c:pt idx="98">
                  <c:v>1.8451930000000001</c:v>
                </c:pt>
                <c:pt idx="99">
                  <c:v>2.0620059999999998</c:v>
                </c:pt>
                <c:pt idx="100">
                  <c:v>2.2729949999999999</c:v>
                </c:pt>
                <c:pt idx="101">
                  <c:v>2.4759289999999998</c:v>
                </c:pt>
                <c:pt idx="102">
                  <c:v>2.668574</c:v>
                </c:pt>
                <c:pt idx="103">
                  <c:v>2.8487010000000001</c:v>
                </c:pt>
                <c:pt idx="104">
                  <c:v>3.0140769999999999</c:v>
                </c:pt>
                <c:pt idx="105">
                  <c:v>3.16303</c:v>
                </c:pt>
                <c:pt idx="106">
                  <c:v>3.2961239999999998</c:v>
                </c:pt>
                <c:pt idx="107">
                  <c:v>3.4144830000000002</c:v>
                </c:pt>
                <c:pt idx="108">
                  <c:v>3.5192299999999999</c:v>
                </c:pt>
                <c:pt idx="109">
                  <c:v>3.6114890000000002</c:v>
                </c:pt>
                <c:pt idx="110">
                  <c:v>3.692383</c:v>
                </c:pt>
                <c:pt idx="111">
                  <c:v>3.763036</c:v>
                </c:pt>
                <c:pt idx="112">
                  <c:v>3.8245719999999999</c:v>
                </c:pt>
                <c:pt idx="113">
                  <c:v>3.8781140000000001</c:v>
                </c:pt>
                <c:pt idx="114">
                  <c:v>3.9247860000000001</c:v>
                </c:pt>
                <c:pt idx="115">
                  <c:v>3.9657100000000001</c:v>
                </c:pt>
                <c:pt idx="116">
                  <c:v>4.0020119999999997</c:v>
                </c:pt>
                <c:pt idx="117">
                  <c:v>4.0348129999999998</c:v>
                </c:pt>
                <c:pt idx="118">
                  <c:v>4.065239</c:v>
                </c:pt>
                <c:pt idx="119">
                  <c:v>4.0944120000000002</c:v>
                </c:pt>
                <c:pt idx="120">
                  <c:v>4.1377644313027266</c:v>
                </c:pt>
                <c:pt idx="121">
                  <c:v>4.1811168626054531</c:v>
                </c:pt>
                <c:pt idx="122">
                  <c:v>4.2244692939081796</c:v>
                </c:pt>
                <c:pt idx="123">
                  <c:v>4.2678217252109061</c:v>
                </c:pt>
                <c:pt idx="124">
                  <c:v>4.3111741565136326</c:v>
                </c:pt>
                <c:pt idx="125">
                  <c:v>4.354526587816359</c:v>
                </c:pt>
                <c:pt idx="126">
                  <c:v>4.3978790191190855</c:v>
                </c:pt>
                <c:pt idx="127">
                  <c:v>4.441231450421812</c:v>
                </c:pt>
                <c:pt idx="128">
                  <c:v>4.4845838817245385</c:v>
                </c:pt>
                <c:pt idx="129">
                  <c:v>4.527936313027265</c:v>
                </c:pt>
                <c:pt idx="130">
                  <c:v>4.5712887443299897</c:v>
                </c:pt>
                <c:pt idx="131">
                  <c:v>4.5712887443299897</c:v>
                </c:pt>
                <c:pt idx="132">
                  <c:v>4.5712887443299897</c:v>
                </c:pt>
                <c:pt idx="133">
                  <c:v>4.5712887443299897</c:v>
                </c:pt>
                <c:pt idx="134">
                  <c:v>4.5712887443299897</c:v>
                </c:pt>
                <c:pt idx="135">
                  <c:v>4.5712887443299897</c:v>
                </c:pt>
                <c:pt idx="136">
                  <c:v>4.5712887443299897</c:v>
                </c:pt>
                <c:pt idx="137">
                  <c:v>0</c:v>
                </c:pt>
                <c:pt idx="138">
                  <c:v>0.13300419999999999</c:v>
                </c:pt>
                <c:pt idx="139">
                  <c:v>0.27930090000000002</c:v>
                </c:pt>
                <c:pt idx="140">
                  <c:v>0.4380116</c:v>
                </c:pt>
                <c:pt idx="141">
                  <c:v>0.60825680000000004</c:v>
                </c:pt>
                <c:pt idx="142">
                  <c:v>0.78915690000000005</c:v>
                </c:pt>
                <c:pt idx="143">
                  <c:v>0.9798325</c:v>
                </c:pt>
                <c:pt idx="144">
                  <c:v>1.1794039999999999</c:v>
                </c:pt>
                <c:pt idx="145">
                  <c:v>1.386992</c:v>
                </c:pt>
                <c:pt idx="146">
                  <c:v>1.6017159999999999</c:v>
                </c:pt>
                <c:pt idx="147">
                  <c:v>1.8226979999999999</c:v>
                </c:pt>
                <c:pt idx="148">
                  <c:v>2.0490569999999999</c:v>
                </c:pt>
                <c:pt idx="149">
                  <c:v>2.2799149999999999</c:v>
                </c:pt>
                <c:pt idx="150">
                  <c:v>2.514392</c:v>
                </c:pt>
                <c:pt idx="151">
                  <c:v>2.7516069999999999</c:v>
                </c:pt>
                <c:pt idx="152">
                  <c:v>2.9901779999999998</c:v>
                </c:pt>
                <c:pt idx="153">
                  <c:v>3.2272249999999998</c:v>
                </c:pt>
                <c:pt idx="154">
                  <c:v>3.4595940000000001</c:v>
                </c:pt>
                <c:pt idx="155">
                  <c:v>3.684129</c:v>
                </c:pt>
                <c:pt idx="156">
                  <c:v>3.897675</c:v>
                </c:pt>
                <c:pt idx="157">
                  <c:v>4.0970769999999996</c:v>
                </c:pt>
                <c:pt idx="158">
                  <c:v>4.2791800000000002</c:v>
                </c:pt>
                <c:pt idx="159">
                  <c:v>4.4408279999999998</c:v>
                </c:pt>
                <c:pt idx="160">
                  <c:v>4.5788659999999997</c:v>
                </c:pt>
                <c:pt idx="161">
                  <c:v>4.6901380000000001</c:v>
                </c:pt>
                <c:pt idx="162">
                  <c:v>4.77149</c:v>
                </c:pt>
                <c:pt idx="163">
                  <c:v>4.8207950000000004</c:v>
                </c:pt>
                <c:pt idx="164">
                  <c:v>4.8400299999999996</c:v>
                </c:pt>
                <c:pt idx="165">
                  <c:v>4.8322019999999997</c:v>
                </c:pt>
                <c:pt idx="166">
                  <c:v>4.8003210000000003</c:v>
                </c:pt>
                <c:pt idx="167">
                  <c:v>4.7473910000000004</c:v>
                </c:pt>
                <c:pt idx="168">
                  <c:v>4.6764210000000004</c:v>
                </c:pt>
                <c:pt idx="169">
                  <c:v>4.5904160000000003</c:v>
                </c:pt>
                <c:pt idx="170">
                  <c:v>4.4923840000000004</c:v>
                </c:pt>
                <c:pt idx="171">
                  <c:v>4.3853330000000001</c:v>
                </c:pt>
                <c:pt idx="172">
                  <c:v>4.2722680000000004</c:v>
                </c:pt>
                <c:pt idx="173">
                  <c:v>4.1561979999999998</c:v>
                </c:pt>
                <c:pt idx="174">
                  <c:v>0</c:v>
                </c:pt>
                <c:pt idx="175">
                  <c:v>0</c:v>
                </c:pt>
                <c:pt idx="176">
                  <c:v>0.21466640000000001</c:v>
                </c:pt>
                <c:pt idx="177">
                  <c:v>0.42436459999999998</c:v>
                </c:pt>
                <c:pt idx="178">
                  <c:v>0.63047059999999999</c:v>
                </c:pt>
                <c:pt idx="179">
                  <c:v>0.8343604</c:v>
                </c:pt>
                <c:pt idx="180">
                  <c:v>1.0374060000000001</c:v>
                </c:pt>
                <c:pt idx="181">
                  <c:v>1.240332</c:v>
                </c:pt>
                <c:pt idx="182">
                  <c:v>1.442415</c:v>
                </c:pt>
                <c:pt idx="183">
                  <c:v>1.6427339999999999</c:v>
                </c:pt>
                <c:pt idx="184">
                  <c:v>1.840371</c:v>
                </c:pt>
                <c:pt idx="185">
                  <c:v>2.0344060000000002</c:v>
                </c:pt>
                <c:pt idx="186">
                  <c:v>2.2239179999999998</c:v>
                </c:pt>
                <c:pt idx="187">
                  <c:v>2.4079899999999999</c:v>
                </c:pt>
                <c:pt idx="188">
                  <c:v>2.5857000000000001</c:v>
                </c:pt>
                <c:pt idx="189">
                  <c:v>2.7561300000000002</c:v>
                </c:pt>
                <c:pt idx="190">
                  <c:v>2.9183590000000001</c:v>
                </c:pt>
                <c:pt idx="191">
                  <c:v>3.071469</c:v>
                </c:pt>
                <c:pt idx="192">
                  <c:v>3.21454</c:v>
                </c:pt>
                <c:pt idx="193">
                  <c:v>3.3466520000000002</c:v>
                </c:pt>
                <c:pt idx="194">
                  <c:v>3.466885</c:v>
                </c:pt>
                <c:pt idx="195">
                  <c:v>3.5743209999999999</c:v>
                </c:pt>
                <c:pt idx="196">
                  <c:v>3.6682929999999998</c:v>
                </c:pt>
                <c:pt idx="197">
                  <c:v>3.7491590000000001</c:v>
                </c:pt>
                <c:pt idx="198">
                  <c:v>3.8175279999999998</c:v>
                </c:pt>
                <c:pt idx="199">
                  <c:v>3.874009</c:v>
                </c:pt>
                <c:pt idx="200">
                  <c:v>3.9192140000000002</c:v>
                </c:pt>
                <c:pt idx="201">
                  <c:v>3.9537529999999999</c:v>
                </c:pt>
                <c:pt idx="202">
                  <c:v>3.9782350000000002</c:v>
                </c:pt>
                <c:pt idx="203">
                  <c:v>3.993271</c:v>
                </c:pt>
                <c:pt idx="204">
                  <c:v>3.9994710000000002</c:v>
                </c:pt>
                <c:pt idx="205">
                  <c:v>3.9974460000000001</c:v>
                </c:pt>
                <c:pt idx="206">
                  <c:v>3.9878049999999998</c:v>
                </c:pt>
                <c:pt idx="207">
                  <c:v>3.9711590000000001</c:v>
                </c:pt>
                <c:pt idx="208">
                  <c:v>3.9481169999999999</c:v>
                </c:pt>
                <c:pt idx="209">
                  <c:v>3.9192909999999999</c:v>
                </c:pt>
                <c:pt idx="210">
                  <c:v>3.8852899999999999</c:v>
                </c:pt>
                <c:pt idx="211">
                  <c:v>3.8467250000000002</c:v>
                </c:pt>
                <c:pt idx="212">
                  <c:v>3.8042050000000001</c:v>
                </c:pt>
                <c:pt idx="213">
                  <c:v>3.7583410000000002</c:v>
                </c:pt>
                <c:pt idx="214">
                  <c:v>3.709743</c:v>
                </c:pt>
                <c:pt idx="215">
                  <c:v>3.6590220000000002</c:v>
                </c:pt>
                <c:pt idx="216">
                  <c:v>3.6067879999999999</c:v>
                </c:pt>
                <c:pt idx="217">
                  <c:v>3.5536500000000002</c:v>
                </c:pt>
                <c:pt idx="218">
                  <c:v>3.500219</c:v>
                </c:pt>
                <c:pt idx="219">
                  <c:v>3.4471050000000001</c:v>
                </c:pt>
                <c:pt idx="220">
                  <c:v>3.3949180000000001</c:v>
                </c:pt>
                <c:pt idx="221">
                  <c:v>3.3442690000000002</c:v>
                </c:pt>
                <c:pt idx="222">
                  <c:v>3.2957679999999998</c:v>
                </c:pt>
                <c:pt idx="223">
                  <c:v>3.2500249999999999</c:v>
                </c:pt>
                <c:pt idx="224">
                  <c:v>3.207649</c:v>
                </c:pt>
                <c:pt idx="225">
                  <c:v>3.1692529999999999</c:v>
                </c:pt>
                <c:pt idx="226">
                  <c:v>3.1354440000000001</c:v>
                </c:pt>
                <c:pt idx="227">
                  <c:v>3.1068349999999998</c:v>
                </c:pt>
                <c:pt idx="228">
                  <c:v>3.0840350000000001</c:v>
                </c:pt>
                <c:pt idx="229">
                  <c:v>3.0840350000000001</c:v>
                </c:pt>
                <c:pt idx="230">
                  <c:v>3.0840350000000001</c:v>
                </c:pt>
                <c:pt idx="231">
                  <c:v>3.0840350000000001</c:v>
                </c:pt>
                <c:pt idx="232">
                  <c:v>3.0840350000000001</c:v>
                </c:pt>
                <c:pt idx="233">
                  <c:v>3.0840350000000001</c:v>
                </c:pt>
                <c:pt idx="234">
                  <c:v>3.0840350000000001</c:v>
                </c:pt>
              </c:numCache>
            </c:numRef>
          </c:yVal>
          <c:smooth val="0"/>
          <c:extLst>
            <c:ext xmlns:c16="http://schemas.microsoft.com/office/drawing/2014/chart" uri="{C3380CC4-5D6E-409C-BE32-E72D297353CC}">
              <c16:uniqueId val="{00000000-A8F4-4C1F-A3A5-A222E7204D61}"/>
            </c:ext>
          </c:extLst>
        </c:ser>
        <c:ser>
          <c:idx val="1"/>
          <c:order val="1"/>
          <c:tx>
            <c:v>HEIGHT</c:v>
          </c:tx>
          <c:marker>
            <c:symbol val="none"/>
          </c:marker>
          <c:xVal>
            <c:numRef>
              <c:f>'1996 alfalfa graphing'!$AT$5:$AT$259</c:f>
              <c:numCache>
                <c:formatCode>General</c:formatCode>
                <c:ptCount val="255"/>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143</c:v>
                </c:pt>
                <c:pt idx="91">
                  <c:v>144</c:v>
                </c:pt>
                <c:pt idx="92">
                  <c:v>145</c:v>
                </c:pt>
                <c:pt idx="93">
                  <c:v>146</c:v>
                </c:pt>
                <c:pt idx="94">
                  <c:v>147</c:v>
                </c:pt>
                <c:pt idx="95">
                  <c:v>148</c:v>
                </c:pt>
                <c:pt idx="96">
                  <c:v>149</c:v>
                </c:pt>
                <c:pt idx="97">
                  <c:v>150</c:v>
                </c:pt>
                <c:pt idx="98">
                  <c:v>151</c:v>
                </c:pt>
                <c:pt idx="99">
                  <c:v>152</c:v>
                </c:pt>
                <c:pt idx="100">
                  <c:v>153</c:v>
                </c:pt>
                <c:pt idx="101">
                  <c:v>154</c:v>
                </c:pt>
                <c:pt idx="102">
                  <c:v>155</c:v>
                </c:pt>
                <c:pt idx="103">
                  <c:v>156</c:v>
                </c:pt>
                <c:pt idx="104">
                  <c:v>157</c:v>
                </c:pt>
                <c:pt idx="105">
                  <c:v>158</c:v>
                </c:pt>
                <c:pt idx="106">
                  <c:v>159</c:v>
                </c:pt>
                <c:pt idx="107">
                  <c:v>160</c:v>
                </c:pt>
                <c:pt idx="108">
                  <c:v>161</c:v>
                </c:pt>
                <c:pt idx="109">
                  <c:v>162</c:v>
                </c:pt>
                <c:pt idx="110">
                  <c:v>163</c:v>
                </c:pt>
                <c:pt idx="111">
                  <c:v>164</c:v>
                </c:pt>
                <c:pt idx="112">
                  <c:v>165</c:v>
                </c:pt>
                <c:pt idx="113">
                  <c:v>166</c:v>
                </c:pt>
                <c:pt idx="114">
                  <c:v>167</c:v>
                </c:pt>
                <c:pt idx="115">
                  <c:v>168</c:v>
                </c:pt>
                <c:pt idx="116">
                  <c:v>169</c:v>
                </c:pt>
                <c:pt idx="117">
                  <c:v>170</c:v>
                </c:pt>
                <c:pt idx="118">
                  <c:v>171</c:v>
                </c:pt>
                <c:pt idx="119">
                  <c:v>172</c:v>
                </c:pt>
                <c:pt idx="120">
                  <c:v>173</c:v>
                </c:pt>
                <c:pt idx="121">
                  <c:v>174</c:v>
                </c:pt>
                <c:pt idx="122">
                  <c:v>175</c:v>
                </c:pt>
                <c:pt idx="123">
                  <c:v>176</c:v>
                </c:pt>
                <c:pt idx="124">
                  <c:v>177</c:v>
                </c:pt>
                <c:pt idx="125">
                  <c:v>178</c:v>
                </c:pt>
                <c:pt idx="126">
                  <c:v>179</c:v>
                </c:pt>
                <c:pt idx="127">
                  <c:v>180</c:v>
                </c:pt>
                <c:pt idx="128">
                  <c:v>181</c:v>
                </c:pt>
                <c:pt idx="129">
                  <c:v>182</c:v>
                </c:pt>
                <c:pt idx="130">
                  <c:v>183</c:v>
                </c:pt>
                <c:pt idx="131">
                  <c:v>184</c:v>
                </c:pt>
                <c:pt idx="132">
                  <c:v>185</c:v>
                </c:pt>
                <c:pt idx="133">
                  <c:v>186</c:v>
                </c:pt>
                <c:pt idx="134">
                  <c:v>187</c:v>
                </c:pt>
                <c:pt idx="135">
                  <c:v>188</c:v>
                </c:pt>
                <c:pt idx="136">
                  <c:v>189</c:v>
                </c:pt>
                <c:pt idx="137">
                  <c:v>190</c:v>
                </c:pt>
                <c:pt idx="138">
                  <c:v>191</c:v>
                </c:pt>
                <c:pt idx="139">
                  <c:v>192</c:v>
                </c:pt>
                <c:pt idx="140">
                  <c:v>193</c:v>
                </c:pt>
                <c:pt idx="141">
                  <c:v>194</c:v>
                </c:pt>
                <c:pt idx="142">
                  <c:v>195</c:v>
                </c:pt>
                <c:pt idx="143">
                  <c:v>196</c:v>
                </c:pt>
                <c:pt idx="144">
                  <c:v>197</c:v>
                </c:pt>
                <c:pt idx="145">
                  <c:v>198</c:v>
                </c:pt>
                <c:pt idx="146">
                  <c:v>199</c:v>
                </c:pt>
                <c:pt idx="147">
                  <c:v>200</c:v>
                </c:pt>
                <c:pt idx="148">
                  <c:v>201</c:v>
                </c:pt>
                <c:pt idx="149">
                  <c:v>202</c:v>
                </c:pt>
                <c:pt idx="150">
                  <c:v>203</c:v>
                </c:pt>
                <c:pt idx="151">
                  <c:v>204</c:v>
                </c:pt>
                <c:pt idx="152">
                  <c:v>205</c:v>
                </c:pt>
                <c:pt idx="153">
                  <c:v>206</c:v>
                </c:pt>
                <c:pt idx="154">
                  <c:v>207</c:v>
                </c:pt>
                <c:pt idx="155">
                  <c:v>208</c:v>
                </c:pt>
                <c:pt idx="156">
                  <c:v>209</c:v>
                </c:pt>
                <c:pt idx="157">
                  <c:v>210</c:v>
                </c:pt>
                <c:pt idx="158">
                  <c:v>211</c:v>
                </c:pt>
                <c:pt idx="159">
                  <c:v>212</c:v>
                </c:pt>
                <c:pt idx="160">
                  <c:v>213</c:v>
                </c:pt>
                <c:pt idx="161">
                  <c:v>214</c:v>
                </c:pt>
                <c:pt idx="162">
                  <c:v>215</c:v>
                </c:pt>
                <c:pt idx="163">
                  <c:v>216</c:v>
                </c:pt>
                <c:pt idx="164">
                  <c:v>217</c:v>
                </c:pt>
                <c:pt idx="165">
                  <c:v>218</c:v>
                </c:pt>
                <c:pt idx="166">
                  <c:v>219</c:v>
                </c:pt>
                <c:pt idx="167">
                  <c:v>220</c:v>
                </c:pt>
                <c:pt idx="168">
                  <c:v>221</c:v>
                </c:pt>
                <c:pt idx="169">
                  <c:v>222</c:v>
                </c:pt>
                <c:pt idx="170">
                  <c:v>223</c:v>
                </c:pt>
                <c:pt idx="171">
                  <c:v>224</c:v>
                </c:pt>
                <c:pt idx="172">
                  <c:v>225</c:v>
                </c:pt>
                <c:pt idx="173">
                  <c:v>226</c:v>
                </c:pt>
                <c:pt idx="174">
                  <c:v>227</c:v>
                </c:pt>
                <c:pt idx="175">
                  <c:v>228</c:v>
                </c:pt>
                <c:pt idx="176">
                  <c:v>229</c:v>
                </c:pt>
                <c:pt idx="177">
                  <c:v>230</c:v>
                </c:pt>
                <c:pt idx="178">
                  <c:v>231</c:v>
                </c:pt>
                <c:pt idx="179">
                  <c:v>232</c:v>
                </c:pt>
                <c:pt idx="180">
                  <c:v>233</c:v>
                </c:pt>
                <c:pt idx="181">
                  <c:v>234</c:v>
                </c:pt>
                <c:pt idx="182">
                  <c:v>235</c:v>
                </c:pt>
                <c:pt idx="183">
                  <c:v>236</c:v>
                </c:pt>
                <c:pt idx="184">
                  <c:v>237</c:v>
                </c:pt>
                <c:pt idx="185">
                  <c:v>238</c:v>
                </c:pt>
                <c:pt idx="186">
                  <c:v>239</c:v>
                </c:pt>
                <c:pt idx="187">
                  <c:v>240</c:v>
                </c:pt>
                <c:pt idx="188">
                  <c:v>241</c:v>
                </c:pt>
                <c:pt idx="189">
                  <c:v>242</c:v>
                </c:pt>
                <c:pt idx="190">
                  <c:v>243</c:v>
                </c:pt>
                <c:pt idx="191">
                  <c:v>244</c:v>
                </c:pt>
                <c:pt idx="192">
                  <c:v>245</c:v>
                </c:pt>
                <c:pt idx="193">
                  <c:v>246</c:v>
                </c:pt>
                <c:pt idx="194">
                  <c:v>247</c:v>
                </c:pt>
                <c:pt idx="195">
                  <c:v>248</c:v>
                </c:pt>
                <c:pt idx="196">
                  <c:v>249</c:v>
                </c:pt>
                <c:pt idx="197">
                  <c:v>250</c:v>
                </c:pt>
                <c:pt idx="198">
                  <c:v>251</c:v>
                </c:pt>
                <c:pt idx="199">
                  <c:v>252</c:v>
                </c:pt>
                <c:pt idx="200">
                  <c:v>253</c:v>
                </c:pt>
                <c:pt idx="201">
                  <c:v>254</c:v>
                </c:pt>
                <c:pt idx="202">
                  <c:v>255</c:v>
                </c:pt>
                <c:pt idx="203">
                  <c:v>256</c:v>
                </c:pt>
                <c:pt idx="204">
                  <c:v>257</c:v>
                </c:pt>
                <c:pt idx="205">
                  <c:v>258</c:v>
                </c:pt>
                <c:pt idx="206">
                  <c:v>259</c:v>
                </c:pt>
                <c:pt idx="207">
                  <c:v>260</c:v>
                </c:pt>
                <c:pt idx="208">
                  <c:v>261</c:v>
                </c:pt>
                <c:pt idx="209">
                  <c:v>262</c:v>
                </c:pt>
                <c:pt idx="210">
                  <c:v>263</c:v>
                </c:pt>
                <c:pt idx="211">
                  <c:v>264</c:v>
                </c:pt>
                <c:pt idx="212">
                  <c:v>265</c:v>
                </c:pt>
                <c:pt idx="213">
                  <c:v>266</c:v>
                </c:pt>
                <c:pt idx="214">
                  <c:v>267</c:v>
                </c:pt>
                <c:pt idx="215">
                  <c:v>268</c:v>
                </c:pt>
                <c:pt idx="216">
                  <c:v>269</c:v>
                </c:pt>
                <c:pt idx="217">
                  <c:v>270</c:v>
                </c:pt>
                <c:pt idx="218">
                  <c:v>271</c:v>
                </c:pt>
                <c:pt idx="219">
                  <c:v>272</c:v>
                </c:pt>
                <c:pt idx="220">
                  <c:v>273</c:v>
                </c:pt>
                <c:pt idx="221">
                  <c:v>274</c:v>
                </c:pt>
                <c:pt idx="222">
                  <c:v>275</c:v>
                </c:pt>
                <c:pt idx="223">
                  <c:v>276</c:v>
                </c:pt>
                <c:pt idx="224">
                  <c:v>277</c:v>
                </c:pt>
                <c:pt idx="225">
                  <c:v>278</c:v>
                </c:pt>
                <c:pt idx="226">
                  <c:v>279</c:v>
                </c:pt>
                <c:pt idx="227">
                  <c:v>280</c:v>
                </c:pt>
                <c:pt idx="228">
                  <c:v>281</c:v>
                </c:pt>
                <c:pt idx="229">
                  <c:v>282</c:v>
                </c:pt>
                <c:pt idx="230">
                  <c:v>283</c:v>
                </c:pt>
                <c:pt idx="231">
                  <c:v>284</c:v>
                </c:pt>
                <c:pt idx="232">
                  <c:v>285</c:v>
                </c:pt>
                <c:pt idx="233">
                  <c:v>286</c:v>
                </c:pt>
                <c:pt idx="234">
                  <c:v>287</c:v>
                </c:pt>
                <c:pt idx="235">
                  <c:v>53</c:v>
                </c:pt>
                <c:pt idx="236">
                  <c:v>108</c:v>
                </c:pt>
                <c:pt idx="237">
                  <c:v>122</c:v>
                </c:pt>
                <c:pt idx="238">
                  <c:v>141</c:v>
                </c:pt>
                <c:pt idx="239">
                  <c:v>142</c:v>
                </c:pt>
                <c:pt idx="240">
                  <c:v>142</c:v>
                </c:pt>
                <c:pt idx="241">
                  <c:v>158</c:v>
                </c:pt>
                <c:pt idx="242">
                  <c:v>172</c:v>
                </c:pt>
                <c:pt idx="243">
                  <c:v>183</c:v>
                </c:pt>
                <c:pt idx="244">
                  <c:v>190</c:v>
                </c:pt>
                <c:pt idx="245">
                  <c:v>190</c:v>
                </c:pt>
                <c:pt idx="246">
                  <c:v>207</c:v>
                </c:pt>
                <c:pt idx="247">
                  <c:v>218</c:v>
                </c:pt>
                <c:pt idx="248">
                  <c:v>227</c:v>
                </c:pt>
                <c:pt idx="249">
                  <c:v>228</c:v>
                </c:pt>
                <c:pt idx="250">
                  <c:v>228</c:v>
                </c:pt>
                <c:pt idx="251">
                  <c:v>247</c:v>
                </c:pt>
                <c:pt idx="252">
                  <c:v>262</c:v>
                </c:pt>
                <c:pt idx="253">
                  <c:v>281</c:v>
                </c:pt>
                <c:pt idx="254">
                  <c:v>281</c:v>
                </c:pt>
              </c:numCache>
            </c:numRef>
          </c:xVal>
          <c:yVal>
            <c:numRef>
              <c:f>'1996 alfalfa graphing'!$AV$5:$AV$259</c:f>
              <c:numCache>
                <c:formatCode>General</c:formatCode>
                <c:ptCount val="255"/>
                <c:pt idx="0">
                  <c:v>2</c:v>
                </c:pt>
                <c:pt idx="1">
                  <c:v>1.972898</c:v>
                </c:pt>
                <c:pt idx="2">
                  <c:v>1.949959</c:v>
                </c:pt>
                <c:pt idx="3">
                  <c:v>1.931716</c:v>
                </c:pt>
                <c:pt idx="4">
                  <c:v>1.918703</c:v>
                </c:pt>
                <c:pt idx="5">
                  <c:v>1.9114530000000001</c:v>
                </c:pt>
                <c:pt idx="6">
                  <c:v>1.910498</c:v>
                </c:pt>
                <c:pt idx="7">
                  <c:v>1.916371</c:v>
                </c:pt>
                <c:pt idx="8">
                  <c:v>1.9296059999999999</c:v>
                </c:pt>
                <c:pt idx="9">
                  <c:v>1.9507350000000001</c:v>
                </c:pt>
                <c:pt idx="10">
                  <c:v>1.9802919999999999</c:v>
                </c:pt>
                <c:pt idx="11">
                  <c:v>2.0188090000000001</c:v>
                </c:pt>
                <c:pt idx="12">
                  <c:v>2.0668199999999999</c:v>
                </c:pt>
                <c:pt idx="13">
                  <c:v>2.1248559999999999</c:v>
                </c:pt>
                <c:pt idx="14">
                  <c:v>2.1934529999999999</c:v>
                </c:pt>
                <c:pt idx="15">
                  <c:v>2.2731409999999999</c:v>
                </c:pt>
                <c:pt idx="16">
                  <c:v>2.364455</c:v>
                </c:pt>
                <c:pt idx="17">
                  <c:v>2.467927</c:v>
                </c:pt>
                <c:pt idx="18">
                  <c:v>2.5840900000000002</c:v>
                </c:pt>
                <c:pt idx="19">
                  <c:v>2.7134779999999998</c:v>
                </c:pt>
                <c:pt idx="20">
                  <c:v>2.8566220000000002</c:v>
                </c:pt>
                <c:pt idx="21">
                  <c:v>3.0140570000000002</c:v>
                </c:pt>
                <c:pt idx="22">
                  <c:v>3.186315</c:v>
                </c:pt>
                <c:pt idx="23">
                  <c:v>3.3739300000000001</c:v>
                </c:pt>
                <c:pt idx="24">
                  <c:v>3.5774330000000001</c:v>
                </c:pt>
                <c:pt idx="25">
                  <c:v>3.797358</c:v>
                </c:pt>
                <c:pt idx="26">
                  <c:v>4.0342380000000002</c:v>
                </c:pt>
                <c:pt idx="27">
                  <c:v>4.2886069999999998</c:v>
                </c:pt>
                <c:pt idx="28">
                  <c:v>4.5609960000000003</c:v>
                </c:pt>
                <c:pt idx="29">
                  <c:v>4.8519399999999999</c:v>
                </c:pt>
                <c:pt idx="30">
                  <c:v>5.1619700000000002</c:v>
                </c:pt>
                <c:pt idx="31">
                  <c:v>5.4916210000000003</c:v>
                </c:pt>
                <c:pt idx="32">
                  <c:v>5.8414239999999999</c:v>
                </c:pt>
                <c:pt idx="33">
                  <c:v>6.211913</c:v>
                </c:pt>
                <c:pt idx="34">
                  <c:v>6.6036210000000004</c:v>
                </c:pt>
                <c:pt idx="35">
                  <c:v>7.0170810000000001</c:v>
                </c:pt>
                <c:pt idx="36">
                  <c:v>7.452826</c:v>
                </c:pt>
                <c:pt idx="37">
                  <c:v>7.9113879999999996</c:v>
                </c:pt>
                <c:pt idx="38">
                  <c:v>8.3933020000000003</c:v>
                </c:pt>
                <c:pt idx="39">
                  <c:v>8.8990989999999996</c:v>
                </c:pt>
                <c:pt idx="40">
                  <c:v>9.4293130000000005</c:v>
                </c:pt>
                <c:pt idx="41">
                  <c:v>9.984477</c:v>
                </c:pt>
                <c:pt idx="42">
                  <c:v>10.56512</c:v>
                </c:pt>
                <c:pt idx="43">
                  <c:v>11.17179</c:v>
                </c:pt>
                <c:pt idx="44">
                  <c:v>11.805</c:v>
                </c:pt>
                <c:pt idx="45">
                  <c:v>12.46529</c:v>
                </c:pt>
                <c:pt idx="46">
                  <c:v>13.1532</c:v>
                </c:pt>
                <c:pt idx="47">
                  <c:v>13.869249999999999</c:v>
                </c:pt>
                <c:pt idx="48">
                  <c:v>14.613989999999999</c:v>
                </c:pt>
                <c:pt idx="49">
                  <c:v>15.387930000000001</c:v>
                </c:pt>
                <c:pt idx="50">
                  <c:v>16.19163</c:v>
                </c:pt>
                <c:pt idx="51">
                  <c:v>17.025600000000001</c:v>
                </c:pt>
                <c:pt idx="52">
                  <c:v>17.89039</c:v>
                </c:pt>
                <c:pt idx="53">
                  <c:v>18.786519999999999</c:v>
                </c:pt>
                <c:pt idx="54">
                  <c:v>19.71453</c:v>
                </c:pt>
                <c:pt idx="55">
                  <c:v>20.674959999999999</c:v>
                </c:pt>
                <c:pt idx="56">
                  <c:v>21.650680000000001</c:v>
                </c:pt>
                <c:pt idx="57">
                  <c:v>22.660540000000001</c:v>
                </c:pt>
                <c:pt idx="58">
                  <c:v>23.707450000000001</c:v>
                </c:pt>
                <c:pt idx="59">
                  <c:v>24.794319999999999</c:v>
                </c:pt>
                <c:pt idx="60">
                  <c:v>25.924050000000001</c:v>
                </c:pt>
                <c:pt idx="61">
                  <c:v>27.099550000000001</c:v>
                </c:pt>
                <c:pt idx="62">
                  <c:v>28.323730000000001</c:v>
                </c:pt>
                <c:pt idx="63">
                  <c:v>29.599489999999999</c:v>
                </c:pt>
                <c:pt idx="64">
                  <c:v>30.929739999999999</c:v>
                </c:pt>
                <c:pt idx="65">
                  <c:v>32.317390000000003</c:v>
                </c:pt>
                <c:pt idx="66">
                  <c:v>33.765340000000002</c:v>
                </c:pt>
                <c:pt idx="67">
                  <c:v>35.276490000000003</c:v>
                </c:pt>
                <c:pt idx="68">
                  <c:v>36.853760000000001</c:v>
                </c:pt>
                <c:pt idx="69">
                  <c:v>38.500050000000002</c:v>
                </c:pt>
                <c:pt idx="70">
                  <c:v>40.218269999999997</c:v>
                </c:pt>
                <c:pt idx="71">
                  <c:v>42.007339999999999</c:v>
                </c:pt>
                <c:pt idx="72">
                  <c:v>43.851379999999999</c:v>
                </c:pt>
                <c:pt idx="73">
                  <c:v>45.73021</c:v>
                </c:pt>
                <c:pt idx="74">
                  <c:v>47.623820000000002</c:v>
                </c:pt>
                <c:pt idx="75">
                  <c:v>49.512189999999997</c:v>
                </c:pt>
                <c:pt idx="76">
                  <c:v>51.37529</c:v>
                </c:pt>
                <c:pt idx="77">
                  <c:v>53.193100000000001</c:v>
                </c:pt>
                <c:pt idx="78">
                  <c:v>54.945619999999998</c:v>
                </c:pt>
                <c:pt idx="79">
                  <c:v>56.612810000000003</c:v>
                </c:pt>
                <c:pt idx="80">
                  <c:v>58.174660000000003</c:v>
                </c:pt>
                <c:pt idx="81">
                  <c:v>59.611139999999999</c:v>
                </c:pt>
                <c:pt idx="82">
                  <c:v>60.902250000000002</c:v>
                </c:pt>
                <c:pt idx="83">
                  <c:v>62.027949999999997</c:v>
                </c:pt>
                <c:pt idx="84">
                  <c:v>62.968229999999998</c:v>
                </c:pt>
                <c:pt idx="85">
                  <c:v>63.70308</c:v>
                </c:pt>
                <c:pt idx="86">
                  <c:v>64.212459999999993</c:v>
                </c:pt>
                <c:pt idx="87">
                  <c:v>64.47636</c:v>
                </c:pt>
                <c:pt idx="88">
                  <c:v>64.474760000000003</c:v>
                </c:pt>
                <c:pt idx="89">
                  <c:v>2</c:v>
                </c:pt>
                <c:pt idx="90">
                  <c:v>2.5848909999999998</c:v>
                </c:pt>
                <c:pt idx="91">
                  <c:v>3.347953</c:v>
                </c:pt>
                <c:pt idx="92">
                  <c:v>4.2905509999999998</c:v>
                </c:pt>
                <c:pt idx="93">
                  <c:v>5.4140490000000003</c:v>
                </c:pt>
                <c:pt idx="94">
                  <c:v>6.7198140000000004</c:v>
                </c:pt>
                <c:pt idx="95">
                  <c:v>8.206747</c:v>
                </c:pt>
                <c:pt idx="96">
                  <c:v>9.863899</c:v>
                </c:pt>
                <c:pt idx="97">
                  <c:v>11.677860000000001</c:v>
                </c:pt>
                <c:pt idx="98">
                  <c:v>13.635210000000001</c:v>
                </c:pt>
                <c:pt idx="99">
                  <c:v>15.72254</c:v>
                </c:pt>
                <c:pt idx="100">
                  <c:v>17.926439999999999</c:v>
                </c:pt>
                <c:pt idx="101">
                  <c:v>20.233499999999999</c:v>
                </c:pt>
                <c:pt idx="102">
                  <c:v>22.630289999999999</c:v>
                </c:pt>
                <c:pt idx="103">
                  <c:v>25.10342</c:v>
                </c:pt>
                <c:pt idx="104">
                  <c:v>27.639469999999999</c:v>
                </c:pt>
                <c:pt idx="105">
                  <c:v>30.225020000000001</c:v>
                </c:pt>
                <c:pt idx="106">
                  <c:v>32.84666</c:v>
                </c:pt>
                <c:pt idx="107">
                  <c:v>35.49098</c:v>
                </c:pt>
                <c:pt idx="108">
                  <c:v>38.144570000000002</c:v>
                </c:pt>
                <c:pt idx="109">
                  <c:v>40.79401</c:v>
                </c:pt>
                <c:pt idx="110">
                  <c:v>43.425849999999997</c:v>
                </c:pt>
                <c:pt idx="111">
                  <c:v>46.026519999999998</c:v>
                </c:pt>
                <c:pt idx="112">
                  <c:v>48.582389999999997</c:v>
                </c:pt>
                <c:pt idx="113">
                  <c:v>51.079839999999997</c:v>
                </c:pt>
                <c:pt idx="114">
                  <c:v>53.505240000000001</c:v>
                </c:pt>
                <c:pt idx="115">
                  <c:v>55.844990000000003</c:v>
                </c:pt>
                <c:pt idx="116">
                  <c:v>58.085450000000002</c:v>
                </c:pt>
                <c:pt idx="117">
                  <c:v>60.21302</c:v>
                </c:pt>
                <c:pt idx="118">
                  <c:v>62.214060000000003</c:v>
                </c:pt>
                <c:pt idx="119">
                  <c:v>64.074960000000004</c:v>
                </c:pt>
                <c:pt idx="120">
                  <c:v>65.782089999999997</c:v>
                </c:pt>
                <c:pt idx="121">
                  <c:v>67.321849999999998</c:v>
                </c:pt>
                <c:pt idx="122">
                  <c:v>68.680599999999998</c:v>
                </c:pt>
                <c:pt idx="123">
                  <c:v>69.844719999999995</c:v>
                </c:pt>
                <c:pt idx="124">
                  <c:v>70.800600000000003</c:v>
                </c:pt>
                <c:pt idx="125">
                  <c:v>71.534610000000001</c:v>
                </c:pt>
                <c:pt idx="126">
                  <c:v>72.033140000000003</c:v>
                </c:pt>
                <c:pt idx="127">
                  <c:v>72.282570000000007</c:v>
                </c:pt>
                <c:pt idx="128">
                  <c:v>72.269260000000003</c:v>
                </c:pt>
                <c:pt idx="129">
                  <c:v>71.979609999999994</c:v>
                </c:pt>
                <c:pt idx="130">
                  <c:v>71.400000000000006</c:v>
                </c:pt>
                <c:pt idx="131">
                  <c:v>70.516800000000003</c:v>
                </c:pt>
                <c:pt idx="132">
                  <c:v>69.316389999999998</c:v>
                </c:pt>
                <c:pt idx="133">
                  <c:v>67.785160000000005</c:v>
                </c:pt>
                <c:pt idx="134">
                  <c:v>65.909469999999999</c:v>
                </c:pt>
                <c:pt idx="135">
                  <c:v>63.675719999999998</c:v>
                </c:pt>
                <c:pt idx="136">
                  <c:v>61.070270000000001</c:v>
                </c:pt>
                <c:pt idx="137">
                  <c:v>2.0000300000000002</c:v>
                </c:pt>
                <c:pt idx="138">
                  <c:v>3.7493989999999999</c:v>
                </c:pt>
                <c:pt idx="139">
                  <c:v>5.6313560000000003</c:v>
                </c:pt>
                <c:pt idx="140">
                  <c:v>7.6326989999999997</c:v>
                </c:pt>
                <c:pt idx="141">
                  <c:v>9.7402320000000007</c:v>
                </c:pt>
                <c:pt idx="142">
                  <c:v>11.94075</c:v>
                </c:pt>
                <c:pt idx="143">
                  <c:v>14.221069999999999</c:v>
                </c:pt>
                <c:pt idx="144">
                  <c:v>16.567969999999999</c:v>
                </c:pt>
                <c:pt idx="145">
                  <c:v>18.96827</c:v>
                </c:pt>
                <c:pt idx="146">
                  <c:v>21.408770000000001</c:v>
                </c:pt>
                <c:pt idx="147">
                  <c:v>23.876259999999998</c:v>
                </c:pt>
                <c:pt idx="148">
                  <c:v>26.35754</c:v>
                </c:pt>
                <c:pt idx="149">
                  <c:v>28.83942</c:v>
                </c:pt>
                <c:pt idx="150">
                  <c:v>31.308700000000002</c:v>
                </c:pt>
                <c:pt idx="151">
                  <c:v>33.752180000000003</c:v>
                </c:pt>
                <c:pt idx="152">
                  <c:v>36.156660000000002</c:v>
                </c:pt>
                <c:pt idx="153">
                  <c:v>38.509450000000001</c:v>
                </c:pt>
                <c:pt idx="154">
                  <c:v>40.799930000000003</c:v>
                </c:pt>
                <c:pt idx="155">
                  <c:v>43.017960000000002</c:v>
                </c:pt>
                <c:pt idx="156">
                  <c:v>45.15343</c:v>
                </c:pt>
                <c:pt idx="157">
                  <c:v>47.196219999999997</c:v>
                </c:pt>
                <c:pt idx="158">
                  <c:v>49.136200000000002</c:v>
                </c:pt>
                <c:pt idx="159">
                  <c:v>50.963250000000002</c:v>
                </c:pt>
                <c:pt idx="160">
                  <c:v>52.667259999999999</c:v>
                </c:pt>
                <c:pt idx="161">
                  <c:v>54.23809</c:v>
                </c:pt>
                <c:pt idx="162">
                  <c:v>55.66563</c:v>
                </c:pt>
                <c:pt idx="163">
                  <c:v>56.933759999999999</c:v>
                </c:pt>
                <c:pt idx="164">
                  <c:v>58.002290000000002</c:v>
                </c:pt>
                <c:pt idx="165">
                  <c:v>58.825040000000001</c:v>
                </c:pt>
                <c:pt idx="166">
                  <c:v>59.355840000000001</c:v>
                </c:pt>
                <c:pt idx="167">
                  <c:v>59.548499999999997</c:v>
                </c:pt>
                <c:pt idx="168">
                  <c:v>59.356830000000002</c:v>
                </c:pt>
                <c:pt idx="169">
                  <c:v>58.734670000000001</c:v>
                </c:pt>
                <c:pt idx="170">
                  <c:v>57.635829999999999</c:v>
                </c:pt>
                <c:pt idx="171">
                  <c:v>56.014119999999998</c:v>
                </c:pt>
                <c:pt idx="172">
                  <c:v>53.823369999999997</c:v>
                </c:pt>
                <c:pt idx="173">
                  <c:v>51.017389999999999</c:v>
                </c:pt>
                <c:pt idx="174">
                  <c:v>2</c:v>
                </c:pt>
                <c:pt idx="175">
                  <c:v>2.0000330000000002</c:v>
                </c:pt>
                <c:pt idx="176">
                  <c:v>4.4522510000000004</c:v>
                </c:pt>
                <c:pt idx="177">
                  <c:v>6.8708600000000004</c:v>
                </c:pt>
                <c:pt idx="178">
                  <c:v>9.2472770000000004</c:v>
                </c:pt>
                <c:pt idx="179">
                  <c:v>11.57292</c:v>
                </c:pt>
                <c:pt idx="180">
                  <c:v>13.839219999999999</c:v>
                </c:pt>
                <c:pt idx="181">
                  <c:v>16.03941</c:v>
                </c:pt>
                <c:pt idx="182">
                  <c:v>18.172139999999999</c:v>
                </c:pt>
                <c:pt idx="183">
                  <c:v>20.23706</c:v>
                </c:pt>
                <c:pt idx="184">
                  <c:v>22.233809999999998</c:v>
                </c:pt>
                <c:pt idx="185">
                  <c:v>24.162050000000001</c:v>
                </c:pt>
                <c:pt idx="186">
                  <c:v>26.021419999999999</c:v>
                </c:pt>
                <c:pt idx="187">
                  <c:v>27.81157</c:v>
                </c:pt>
                <c:pt idx="188">
                  <c:v>29.532150000000001</c:v>
                </c:pt>
                <c:pt idx="189">
                  <c:v>31.18281</c:v>
                </c:pt>
                <c:pt idx="190">
                  <c:v>32.763190000000002</c:v>
                </c:pt>
                <c:pt idx="191">
                  <c:v>34.272950000000002</c:v>
                </c:pt>
                <c:pt idx="192">
                  <c:v>35.711730000000003</c:v>
                </c:pt>
                <c:pt idx="193">
                  <c:v>37.079169999999998</c:v>
                </c:pt>
                <c:pt idx="194">
                  <c:v>38.374940000000002</c:v>
                </c:pt>
                <c:pt idx="195">
                  <c:v>39.598669999999998</c:v>
                </c:pt>
                <c:pt idx="196">
                  <c:v>40.750340000000001</c:v>
                </c:pt>
                <c:pt idx="197">
                  <c:v>41.831760000000003</c:v>
                </c:pt>
                <c:pt idx="198">
                  <c:v>42.845300000000002</c:v>
                </c:pt>
                <c:pt idx="199">
                  <c:v>43.793370000000003</c:v>
                </c:pt>
                <c:pt idx="200">
                  <c:v>44.678359999999998</c:v>
                </c:pt>
                <c:pt idx="201">
                  <c:v>45.502670000000002</c:v>
                </c:pt>
                <c:pt idx="202">
                  <c:v>46.268689999999999</c:v>
                </c:pt>
                <c:pt idx="203">
                  <c:v>46.978819999999999</c:v>
                </c:pt>
                <c:pt idx="204">
                  <c:v>47.635460000000002</c:v>
                </c:pt>
                <c:pt idx="205">
                  <c:v>48.240989999999996</c:v>
                </c:pt>
                <c:pt idx="206">
                  <c:v>48.797820000000002</c:v>
                </c:pt>
                <c:pt idx="207">
                  <c:v>49.308349999999997</c:v>
                </c:pt>
                <c:pt idx="208">
                  <c:v>49.77496</c:v>
                </c:pt>
                <c:pt idx="209">
                  <c:v>50.200060000000001</c:v>
                </c:pt>
                <c:pt idx="210">
                  <c:v>50.586030000000001</c:v>
                </c:pt>
                <c:pt idx="211">
                  <c:v>50.935279999999999</c:v>
                </c:pt>
                <c:pt idx="212">
                  <c:v>51.2502</c:v>
                </c:pt>
                <c:pt idx="213">
                  <c:v>51.533180000000002</c:v>
                </c:pt>
                <c:pt idx="214">
                  <c:v>51.786630000000002</c:v>
                </c:pt>
                <c:pt idx="215">
                  <c:v>52.01294</c:v>
                </c:pt>
                <c:pt idx="216">
                  <c:v>52.214500000000001</c:v>
                </c:pt>
                <c:pt idx="217">
                  <c:v>52.393700000000003</c:v>
                </c:pt>
                <c:pt idx="218">
                  <c:v>52.552959999999999</c:v>
                </c:pt>
                <c:pt idx="219">
                  <c:v>52.694650000000003</c:v>
                </c:pt>
                <c:pt idx="220">
                  <c:v>52.821179999999998</c:v>
                </c:pt>
                <c:pt idx="221">
                  <c:v>52.934939999999997</c:v>
                </c:pt>
                <c:pt idx="222">
                  <c:v>53.038330000000002</c:v>
                </c:pt>
                <c:pt idx="223">
                  <c:v>53.133740000000003</c:v>
                </c:pt>
                <c:pt idx="224">
                  <c:v>53.223570000000002</c:v>
                </c:pt>
                <c:pt idx="225">
                  <c:v>53.310209999999998</c:v>
                </c:pt>
                <c:pt idx="226">
                  <c:v>53.396070000000002</c:v>
                </c:pt>
                <c:pt idx="227">
                  <c:v>53.483530000000002</c:v>
                </c:pt>
                <c:pt idx="228">
                  <c:v>53.575000000000003</c:v>
                </c:pt>
                <c:pt idx="229">
                  <c:v>53.67286</c:v>
                </c:pt>
                <c:pt idx="230">
                  <c:v>53.779510000000002</c:v>
                </c:pt>
                <c:pt idx="231">
                  <c:v>53.897359999999999</c:v>
                </c:pt>
                <c:pt idx="232">
                  <c:v>54.028790000000001</c:v>
                </c:pt>
                <c:pt idx="233">
                  <c:v>54.176200000000001</c:v>
                </c:pt>
                <c:pt idx="234">
                  <c:v>54.34198</c:v>
                </c:pt>
              </c:numCache>
            </c:numRef>
          </c:yVal>
          <c:smooth val="0"/>
          <c:extLst>
            <c:ext xmlns:c16="http://schemas.microsoft.com/office/drawing/2014/chart" uri="{C3380CC4-5D6E-409C-BE32-E72D297353CC}">
              <c16:uniqueId val="{00000001-A8F4-4C1F-A3A5-A222E7204D61}"/>
            </c:ext>
          </c:extLst>
        </c:ser>
        <c:dLbls>
          <c:showLegendKey val="0"/>
          <c:showVal val="0"/>
          <c:showCatName val="0"/>
          <c:showSerName val="0"/>
          <c:showPercent val="0"/>
          <c:showBubbleSize val="0"/>
        </c:dLbls>
        <c:axId val="1427677280"/>
        <c:axId val="1"/>
      </c:scatterChart>
      <c:valAx>
        <c:axId val="1427677280"/>
        <c:scaling>
          <c:orientation val="minMax"/>
        </c:scaling>
        <c:delete val="0"/>
        <c:axPos val="b"/>
        <c:title>
          <c:tx>
            <c:rich>
              <a:bodyPr/>
              <a:lstStyle/>
              <a:p>
                <a:pPr>
                  <a:defRPr/>
                </a:pPr>
                <a:r>
                  <a:rPr lang="en-US"/>
                  <a:t>DAY OF YEAR, 1996</a:t>
                </a:r>
              </a:p>
            </c:rich>
          </c:tx>
          <c:layout>
            <c:manualLayout>
              <c:xMode val="edge"/>
              <c:yMode val="edge"/>
              <c:x val="0.38873869307109143"/>
              <c:y val="0.90019379844961245"/>
            </c:manualLayout>
          </c:layout>
          <c:overlay val="0"/>
        </c:title>
        <c:numFmt formatCode="General" sourceLinked="1"/>
        <c:majorTickMark val="cross"/>
        <c:minorTickMark val="none"/>
        <c:tickLblPos val="nextTo"/>
        <c:txPr>
          <a:bodyPr rot="0" vert="horz"/>
          <a:lstStyle/>
          <a:p>
            <a:pPr>
              <a:defRPr/>
            </a:pPr>
            <a:endParaRPr lang="en-US"/>
          </a:p>
        </c:txPr>
        <c:crossAx val="1"/>
        <c:crosses val="autoZero"/>
        <c:crossBetween val="midCat"/>
      </c:valAx>
      <c:valAx>
        <c:axId val="1"/>
        <c:scaling>
          <c:orientation val="minMax"/>
        </c:scaling>
        <c:delete val="0"/>
        <c:axPos val="l"/>
        <c:title>
          <c:tx>
            <c:rich>
              <a:bodyPr rot="-5400000" vert="horz"/>
              <a:lstStyle/>
              <a:p>
                <a:pPr>
                  <a:defRPr/>
                </a:pPr>
                <a:r>
                  <a:rPr lang="en-US"/>
                  <a:t>LEAF AREA INDEX</a:t>
                </a:r>
              </a:p>
            </c:rich>
          </c:tx>
          <c:layout>
            <c:manualLayout>
              <c:xMode val="edge"/>
              <c:yMode val="edge"/>
              <c:x val="2.413646792005076E-2"/>
              <c:y val="0.2897286821705426"/>
            </c:manualLayout>
          </c:layout>
          <c:overlay val="0"/>
        </c:title>
        <c:numFmt formatCode="General" sourceLinked="1"/>
        <c:majorTickMark val="cross"/>
        <c:minorTickMark val="none"/>
        <c:tickLblPos val="nextTo"/>
        <c:txPr>
          <a:bodyPr rot="0" vert="horz"/>
          <a:lstStyle/>
          <a:p>
            <a:pPr>
              <a:defRPr/>
            </a:pPr>
            <a:endParaRPr lang="en-US"/>
          </a:p>
        </c:txPr>
        <c:crossAx val="1427677280"/>
        <c:crosses val="autoZero"/>
        <c:crossBetween val="midCat"/>
      </c:valAx>
    </c:plotArea>
    <c:legend>
      <c:legendPos val="r"/>
      <c:layout>
        <c:manualLayout>
          <c:xMode val="edge"/>
          <c:yMode val="edge"/>
          <c:x val="0.63639939320889605"/>
          <c:y val="5.2325581395348826E-2"/>
          <c:w val="0.31226517822611227"/>
          <c:h val="9.0116279069767449E-2"/>
        </c:manualLayout>
      </c:layout>
      <c:overlay val="0"/>
    </c:legend>
    <c:plotVisOnly val="0"/>
    <c:dispBlanksAs val="gap"/>
    <c:showDLblsOverMax val="0"/>
  </c:chart>
  <c:printSettings>
    <c:headerFooter alignWithMargins="0"/>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en-US"/>
              <a:t>1996 ALFALFA</a:t>
            </a:r>
          </a:p>
        </c:rich>
      </c:tx>
      <c:layout>
        <c:manualLayout>
          <c:xMode val="edge"/>
          <c:yMode val="edge"/>
          <c:x val="0.32323371818528751"/>
          <c:y val="3.478267330765783E-2"/>
        </c:manualLayout>
      </c:layout>
      <c:overlay val="0"/>
      <c:spPr>
        <a:noFill/>
        <a:ln w="25400">
          <a:noFill/>
        </a:ln>
      </c:spPr>
    </c:title>
    <c:autoTitleDeleted val="0"/>
    <c:plotArea>
      <c:layout>
        <c:manualLayout>
          <c:layoutTarget val="inner"/>
          <c:xMode val="edge"/>
          <c:yMode val="edge"/>
          <c:x val="0.17676843963257913"/>
          <c:y val="0.12608719074025965"/>
          <c:w val="0.74495270988015483"/>
          <c:h val="0.53913143626869642"/>
        </c:manualLayout>
      </c:layout>
      <c:scatterChart>
        <c:scatterStyle val="lineMarker"/>
        <c:varyColors val="0"/>
        <c:ser>
          <c:idx val="0"/>
          <c:order val="0"/>
          <c:tx>
            <c:strRef>
              <c:f>'1996 alfalfa graphing'!$BC$239</c:f>
              <c:strCache>
                <c:ptCount val="1"/>
                <c:pt idx="0">
                  <c:v>NE_1</c:v>
                </c:pt>
              </c:strCache>
            </c:strRef>
          </c:tx>
          <c:spPr>
            <a:ln w="12700">
              <a:solidFill>
                <a:srgbClr val="000080"/>
              </a:solidFill>
              <a:prstDash val="solid"/>
            </a:ln>
          </c:spPr>
          <c:marker>
            <c:symbol val="none"/>
          </c:marker>
          <c:xVal>
            <c:numRef>
              <c:f>'1996 alfalfa graphing'!$BB$240:$BB$300</c:f>
              <c:numCache>
                <c:formatCode>General</c:formatCode>
                <c:ptCount val="61"/>
                <c:pt idx="0">
                  <c:v>2</c:v>
                </c:pt>
                <c:pt idx="1">
                  <c:v>20.399999999999999</c:v>
                </c:pt>
                <c:pt idx="2">
                  <c:v>37.549999999999997</c:v>
                </c:pt>
                <c:pt idx="3">
                  <c:v>63.95</c:v>
                </c:pt>
                <c:pt idx="4">
                  <c:v>51</c:v>
                </c:pt>
                <c:pt idx="5">
                  <c:v>2</c:v>
                </c:pt>
                <c:pt idx="6">
                  <c:v>28.15</c:v>
                </c:pt>
                <c:pt idx="7">
                  <c:v>64.099999999999994</c:v>
                </c:pt>
                <c:pt idx="8">
                  <c:v>70.150000000000006</c:v>
                </c:pt>
                <c:pt idx="9">
                  <c:v>62</c:v>
                </c:pt>
                <c:pt idx="10">
                  <c:v>2</c:v>
                </c:pt>
                <c:pt idx="11">
                  <c:v>40.450000000000003</c:v>
                </c:pt>
                <c:pt idx="12">
                  <c:v>59.8</c:v>
                </c:pt>
                <c:pt idx="13">
                  <c:v>48.45</c:v>
                </c:pt>
                <c:pt idx="14">
                  <c:v>44.2</c:v>
                </c:pt>
                <c:pt idx="15">
                  <c:v>2</c:v>
                </c:pt>
                <c:pt idx="16">
                  <c:v>37.5</c:v>
                </c:pt>
                <c:pt idx="17">
                  <c:v>51.6</c:v>
                </c:pt>
                <c:pt idx="18">
                  <c:v>53.55</c:v>
                </c:pt>
                <c:pt idx="19">
                  <c:v>55.8</c:v>
                </c:pt>
                <c:pt idx="20">
                  <c:v>2</c:v>
                </c:pt>
                <c:pt idx="21">
                  <c:v>20.95</c:v>
                </c:pt>
                <c:pt idx="22">
                  <c:v>39.450000000000003</c:v>
                </c:pt>
                <c:pt idx="23">
                  <c:v>65</c:v>
                </c:pt>
                <c:pt idx="24">
                  <c:v>54</c:v>
                </c:pt>
                <c:pt idx="25">
                  <c:v>2</c:v>
                </c:pt>
                <c:pt idx="26">
                  <c:v>32.299999999999997</c:v>
                </c:pt>
                <c:pt idx="27">
                  <c:v>64.05</c:v>
                </c:pt>
                <c:pt idx="28">
                  <c:v>72.650000000000006</c:v>
                </c:pt>
                <c:pt idx="29">
                  <c:v>61.8</c:v>
                </c:pt>
                <c:pt idx="30">
                  <c:v>2</c:v>
                </c:pt>
                <c:pt idx="31">
                  <c:v>41.15</c:v>
                </c:pt>
                <c:pt idx="32">
                  <c:v>57.85</c:v>
                </c:pt>
                <c:pt idx="33">
                  <c:v>46.65</c:v>
                </c:pt>
                <c:pt idx="34">
                  <c:v>47.2</c:v>
                </c:pt>
                <c:pt idx="35">
                  <c:v>2</c:v>
                </c:pt>
                <c:pt idx="36">
                  <c:v>39.25</c:v>
                </c:pt>
                <c:pt idx="37">
                  <c:v>48.8</c:v>
                </c:pt>
                <c:pt idx="38">
                  <c:v>53.6</c:v>
                </c:pt>
                <c:pt idx="39">
                  <c:v>56</c:v>
                </c:pt>
                <c:pt idx="40">
                  <c:v>10</c:v>
                </c:pt>
                <c:pt idx="41">
                  <c:v>12</c:v>
                </c:pt>
                <c:pt idx="42">
                  <c:v>14</c:v>
                </c:pt>
                <c:pt idx="43">
                  <c:v>16</c:v>
                </c:pt>
                <c:pt idx="44">
                  <c:v>18</c:v>
                </c:pt>
                <c:pt idx="45">
                  <c:v>20</c:v>
                </c:pt>
                <c:pt idx="46">
                  <c:v>22</c:v>
                </c:pt>
                <c:pt idx="47">
                  <c:v>24</c:v>
                </c:pt>
                <c:pt idx="48">
                  <c:v>26</c:v>
                </c:pt>
                <c:pt idx="49">
                  <c:v>28</c:v>
                </c:pt>
                <c:pt idx="50">
                  <c:v>30</c:v>
                </c:pt>
                <c:pt idx="51">
                  <c:v>32</c:v>
                </c:pt>
                <c:pt idx="52">
                  <c:v>34</c:v>
                </c:pt>
                <c:pt idx="53">
                  <c:v>36</c:v>
                </c:pt>
                <c:pt idx="54">
                  <c:v>38</c:v>
                </c:pt>
                <c:pt idx="55">
                  <c:v>40</c:v>
                </c:pt>
                <c:pt idx="56">
                  <c:v>42</c:v>
                </c:pt>
                <c:pt idx="57">
                  <c:v>44</c:v>
                </c:pt>
                <c:pt idx="58">
                  <c:v>46</c:v>
                </c:pt>
                <c:pt idx="59">
                  <c:v>48</c:v>
                </c:pt>
                <c:pt idx="60">
                  <c:v>50</c:v>
                </c:pt>
              </c:numCache>
            </c:numRef>
          </c:xVal>
          <c:yVal>
            <c:numRef>
              <c:f>'1996 alfalfa graphing'!$BC$240:$BC$300</c:f>
              <c:numCache>
                <c:formatCode>General</c:formatCode>
                <c:ptCount val="61"/>
                <c:pt idx="0">
                  <c:v>0</c:v>
                </c:pt>
                <c:pt idx="1">
                  <c:v>3.9434997869483848</c:v>
                </c:pt>
                <c:pt idx="2">
                  <c:v>6.4031237112534996</c:v>
                </c:pt>
                <c:pt idx="3">
                  <c:v>6.436128420051114</c:v>
                </c:pt>
                <c:pt idx="4">
                  <c:v>7.3661152244540533</c:v>
                </c:pt>
              </c:numCache>
            </c:numRef>
          </c:yVal>
          <c:smooth val="0"/>
          <c:extLst>
            <c:ext xmlns:c16="http://schemas.microsoft.com/office/drawing/2014/chart" uri="{C3380CC4-5D6E-409C-BE32-E72D297353CC}">
              <c16:uniqueId val="{00000000-AB8B-4AA0-97AF-F9C6F2660972}"/>
            </c:ext>
          </c:extLst>
        </c:ser>
        <c:ser>
          <c:idx val="1"/>
          <c:order val="1"/>
          <c:tx>
            <c:strRef>
              <c:f>'1996 alfalfa graphing'!$BD$239</c:f>
              <c:strCache>
                <c:ptCount val="1"/>
                <c:pt idx="0">
                  <c:v>NE_2</c:v>
                </c:pt>
              </c:strCache>
            </c:strRef>
          </c:tx>
          <c:spPr>
            <a:ln w="12700">
              <a:solidFill>
                <a:srgbClr val="FF00FF"/>
              </a:solidFill>
              <a:prstDash val="solid"/>
            </a:ln>
          </c:spPr>
          <c:marker>
            <c:symbol val="none"/>
          </c:marker>
          <c:xVal>
            <c:numRef>
              <c:f>'1996 alfalfa graphing'!$BB$240:$BB$300</c:f>
              <c:numCache>
                <c:formatCode>General</c:formatCode>
                <c:ptCount val="61"/>
                <c:pt idx="0">
                  <c:v>2</c:v>
                </c:pt>
                <c:pt idx="1">
                  <c:v>20.399999999999999</c:v>
                </c:pt>
                <c:pt idx="2">
                  <c:v>37.549999999999997</c:v>
                </c:pt>
                <c:pt idx="3">
                  <c:v>63.95</c:v>
                </c:pt>
                <c:pt idx="4">
                  <c:v>51</c:v>
                </c:pt>
                <c:pt idx="5">
                  <c:v>2</c:v>
                </c:pt>
                <c:pt idx="6">
                  <c:v>28.15</c:v>
                </c:pt>
                <c:pt idx="7">
                  <c:v>64.099999999999994</c:v>
                </c:pt>
                <c:pt idx="8">
                  <c:v>70.150000000000006</c:v>
                </c:pt>
                <c:pt idx="9">
                  <c:v>62</c:v>
                </c:pt>
                <c:pt idx="10">
                  <c:v>2</c:v>
                </c:pt>
                <c:pt idx="11">
                  <c:v>40.450000000000003</c:v>
                </c:pt>
                <c:pt idx="12">
                  <c:v>59.8</c:v>
                </c:pt>
                <c:pt idx="13">
                  <c:v>48.45</c:v>
                </c:pt>
                <c:pt idx="14">
                  <c:v>44.2</c:v>
                </c:pt>
                <c:pt idx="15">
                  <c:v>2</c:v>
                </c:pt>
                <c:pt idx="16">
                  <c:v>37.5</c:v>
                </c:pt>
                <c:pt idx="17">
                  <c:v>51.6</c:v>
                </c:pt>
                <c:pt idx="18">
                  <c:v>53.55</c:v>
                </c:pt>
                <c:pt idx="19">
                  <c:v>55.8</c:v>
                </c:pt>
                <c:pt idx="20">
                  <c:v>2</c:v>
                </c:pt>
                <c:pt idx="21">
                  <c:v>20.95</c:v>
                </c:pt>
                <c:pt idx="22">
                  <c:v>39.450000000000003</c:v>
                </c:pt>
                <c:pt idx="23">
                  <c:v>65</c:v>
                </c:pt>
                <c:pt idx="24">
                  <c:v>54</c:v>
                </c:pt>
                <c:pt idx="25">
                  <c:v>2</c:v>
                </c:pt>
                <c:pt idx="26">
                  <c:v>32.299999999999997</c:v>
                </c:pt>
                <c:pt idx="27">
                  <c:v>64.05</c:v>
                </c:pt>
                <c:pt idx="28">
                  <c:v>72.650000000000006</c:v>
                </c:pt>
                <c:pt idx="29">
                  <c:v>61.8</c:v>
                </c:pt>
                <c:pt idx="30">
                  <c:v>2</c:v>
                </c:pt>
                <c:pt idx="31">
                  <c:v>41.15</c:v>
                </c:pt>
                <c:pt idx="32">
                  <c:v>57.85</c:v>
                </c:pt>
                <c:pt idx="33">
                  <c:v>46.65</c:v>
                </c:pt>
                <c:pt idx="34">
                  <c:v>47.2</c:v>
                </c:pt>
                <c:pt idx="35">
                  <c:v>2</c:v>
                </c:pt>
                <c:pt idx="36">
                  <c:v>39.25</c:v>
                </c:pt>
                <c:pt idx="37">
                  <c:v>48.8</c:v>
                </c:pt>
                <c:pt idx="38">
                  <c:v>53.6</c:v>
                </c:pt>
                <c:pt idx="39">
                  <c:v>56</c:v>
                </c:pt>
                <c:pt idx="40">
                  <c:v>10</c:v>
                </c:pt>
                <c:pt idx="41">
                  <c:v>12</c:v>
                </c:pt>
                <c:pt idx="42">
                  <c:v>14</c:v>
                </c:pt>
                <c:pt idx="43">
                  <c:v>16</c:v>
                </c:pt>
                <c:pt idx="44">
                  <c:v>18</c:v>
                </c:pt>
                <c:pt idx="45">
                  <c:v>20</c:v>
                </c:pt>
                <c:pt idx="46">
                  <c:v>22</c:v>
                </c:pt>
                <c:pt idx="47">
                  <c:v>24</c:v>
                </c:pt>
                <c:pt idx="48">
                  <c:v>26</c:v>
                </c:pt>
                <c:pt idx="49">
                  <c:v>28</c:v>
                </c:pt>
                <c:pt idx="50">
                  <c:v>30</c:v>
                </c:pt>
                <c:pt idx="51">
                  <c:v>32</c:v>
                </c:pt>
                <c:pt idx="52">
                  <c:v>34</c:v>
                </c:pt>
                <c:pt idx="53">
                  <c:v>36</c:v>
                </c:pt>
                <c:pt idx="54">
                  <c:v>38</c:v>
                </c:pt>
                <c:pt idx="55">
                  <c:v>40</c:v>
                </c:pt>
                <c:pt idx="56">
                  <c:v>42</c:v>
                </c:pt>
                <c:pt idx="57">
                  <c:v>44</c:v>
                </c:pt>
                <c:pt idx="58">
                  <c:v>46</c:v>
                </c:pt>
                <c:pt idx="59">
                  <c:v>48</c:v>
                </c:pt>
                <c:pt idx="60">
                  <c:v>50</c:v>
                </c:pt>
              </c:numCache>
            </c:numRef>
          </c:xVal>
          <c:yVal>
            <c:numRef>
              <c:f>'1996 alfalfa graphing'!$BD$240:$BD$300</c:f>
              <c:numCache>
                <c:formatCode>General</c:formatCode>
                <c:ptCount val="61"/>
                <c:pt idx="5">
                  <c:v>0</c:v>
                </c:pt>
                <c:pt idx="6">
                  <c:v>3.098860667632648</c:v>
                </c:pt>
                <c:pt idx="7">
                  <c:v>4.0928237154315434</c:v>
                </c:pt>
                <c:pt idx="8">
                  <c:v>4.9660619799455628</c:v>
                </c:pt>
                <c:pt idx="9">
                  <c:v>2.5638379632225892</c:v>
                </c:pt>
              </c:numCache>
            </c:numRef>
          </c:yVal>
          <c:smooth val="0"/>
          <c:extLst>
            <c:ext xmlns:c16="http://schemas.microsoft.com/office/drawing/2014/chart" uri="{C3380CC4-5D6E-409C-BE32-E72D297353CC}">
              <c16:uniqueId val="{00000001-AB8B-4AA0-97AF-F9C6F2660972}"/>
            </c:ext>
          </c:extLst>
        </c:ser>
        <c:ser>
          <c:idx val="2"/>
          <c:order val="2"/>
          <c:tx>
            <c:strRef>
              <c:f>'1996 alfalfa graphing'!$BE$239</c:f>
              <c:strCache>
                <c:ptCount val="1"/>
                <c:pt idx="0">
                  <c:v>NE_3</c:v>
                </c:pt>
              </c:strCache>
            </c:strRef>
          </c:tx>
          <c:spPr>
            <a:ln w="12700">
              <a:solidFill>
                <a:srgbClr val="FFFF00"/>
              </a:solidFill>
              <a:prstDash val="solid"/>
            </a:ln>
          </c:spPr>
          <c:marker>
            <c:symbol val="diamond"/>
            <c:size val="3"/>
            <c:spPr>
              <a:solidFill>
                <a:srgbClr val="000000"/>
              </a:solidFill>
              <a:ln>
                <a:solidFill>
                  <a:srgbClr val="000000"/>
                </a:solidFill>
                <a:prstDash val="solid"/>
              </a:ln>
            </c:spPr>
          </c:marker>
          <c:xVal>
            <c:numRef>
              <c:f>'1996 alfalfa graphing'!$BB$240:$BB$300</c:f>
              <c:numCache>
                <c:formatCode>General</c:formatCode>
                <c:ptCount val="61"/>
                <c:pt idx="0">
                  <c:v>2</c:v>
                </c:pt>
                <c:pt idx="1">
                  <c:v>20.399999999999999</c:v>
                </c:pt>
                <c:pt idx="2">
                  <c:v>37.549999999999997</c:v>
                </c:pt>
                <c:pt idx="3">
                  <c:v>63.95</c:v>
                </c:pt>
                <c:pt idx="4">
                  <c:v>51</c:v>
                </c:pt>
                <c:pt idx="5">
                  <c:v>2</c:v>
                </c:pt>
                <c:pt idx="6">
                  <c:v>28.15</c:v>
                </c:pt>
                <c:pt idx="7">
                  <c:v>64.099999999999994</c:v>
                </c:pt>
                <c:pt idx="8">
                  <c:v>70.150000000000006</c:v>
                </c:pt>
                <c:pt idx="9">
                  <c:v>62</c:v>
                </c:pt>
                <c:pt idx="10">
                  <c:v>2</c:v>
                </c:pt>
                <c:pt idx="11">
                  <c:v>40.450000000000003</c:v>
                </c:pt>
                <c:pt idx="12">
                  <c:v>59.8</c:v>
                </c:pt>
                <c:pt idx="13">
                  <c:v>48.45</c:v>
                </c:pt>
                <c:pt idx="14">
                  <c:v>44.2</c:v>
                </c:pt>
                <c:pt idx="15">
                  <c:v>2</c:v>
                </c:pt>
                <c:pt idx="16">
                  <c:v>37.5</c:v>
                </c:pt>
                <c:pt idx="17">
                  <c:v>51.6</c:v>
                </c:pt>
                <c:pt idx="18">
                  <c:v>53.55</c:v>
                </c:pt>
                <c:pt idx="19">
                  <c:v>55.8</c:v>
                </c:pt>
                <c:pt idx="20">
                  <c:v>2</c:v>
                </c:pt>
                <c:pt idx="21">
                  <c:v>20.95</c:v>
                </c:pt>
                <c:pt idx="22">
                  <c:v>39.450000000000003</c:v>
                </c:pt>
                <c:pt idx="23">
                  <c:v>65</c:v>
                </c:pt>
                <c:pt idx="24">
                  <c:v>54</c:v>
                </c:pt>
                <c:pt idx="25">
                  <c:v>2</c:v>
                </c:pt>
                <c:pt idx="26">
                  <c:v>32.299999999999997</c:v>
                </c:pt>
                <c:pt idx="27">
                  <c:v>64.05</c:v>
                </c:pt>
                <c:pt idx="28">
                  <c:v>72.650000000000006</c:v>
                </c:pt>
                <c:pt idx="29">
                  <c:v>61.8</c:v>
                </c:pt>
                <c:pt idx="30">
                  <c:v>2</c:v>
                </c:pt>
                <c:pt idx="31">
                  <c:v>41.15</c:v>
                </c:pt>
                <c:pt idx="32">
                  <c:v>57.85</c:v>
                </c:pt>
                <c:pt idx="33">
                  <c:v>46.65</c:v>
                </c:pt>
                <c:pt idx="34">
                  <c:v>47.2</c:v>
                </c:pt>
                <c:pt idx="35">
                  <c:v>2</c:v>
                </c:pt>
                <c:pt idx="36">
                  <c:v>39.25</c:v>
                </c:pt>
                <c:pt idx="37">
                  <c:v>48.8</c:v>
                </c:pt>
                <c:pt idx="38">
                  <c:v>53.6</c:v>
                </c:pt>
                <c:pt idx="39">
                  <c:v>56</c:v>
                </c:pt>
                <c:pt idx="40">
                  <c:v>10</c:v>
                </c:pt>
                <c:pt idx="41">
                  <c:v>12</c:v>
                </c:pt>
                <c:pt idx="42">
                  <c:v>14</c:v>
                </c:pt>
                <c:pt idx="43">
                  <c:v>16</c:v>
                </c:pt>
                <c:pt idx="44">
                  <c:v>18</c:v>
                </c:pt>
                <c:pt idx="45">
                  <c:v>20</c:v>
                </c:pt>
                <c:pt idx="46">
                  <c:v>22</c:v>
                </c:pt>
                <c:pt idx="47">
                  <c:v>24</c:v>
                </c:pt>
                <c:pt idx="48">
                  <c:v>26</c:v>
                </c:pt>
                <c:pt idx="49">
                  <c:v>28</c:v>
                </c:pt>
                <c:pt idx="50">
                  <c:v>30</c:v>
                </c:pt>
                <c:pt idx="51">
                  <c:v>32</c:v>
                </c:pt>
                <c:pt idx="52">
                  <c:v>34</c:v>
                </c:pt>
                <c:pt idx="53">
                  <c:v>36</c:v>
                </c:pt>
                <c:pt idx="54">
                  <c:v>38</c:v>
                </c:pt>
                <c:pt idx="55">
                  <c:v>40</c:v>
                </c:pt>
                <c:pt idx="56">
                  <c:v>42</c:v>
                </c:pt>
                <c:pt idx="57">
                  <c:v>44</c:v>
                </c:pt>
                <c:pt idx="58">
                  <c:v>46</c:v>
                </c:pt>
                <c:pt idx="59">
                  <c:v>48</c:v>
                </c:pt>
                <c:pt idx="60">
                  <c:v>50</c:v>
                </c:pt>
              </c:numCache>
            </c:numRef>
          </c:xVal>
          <c:yVal>
            <c:numRef>
              <c:f>'1996 alfalfa graphing'!$BE$240:$BE$300</c:f>
              <c:numCache>
                <c:formatCode>General</c:formatCode>
                <c:ptCount val="61"/>
                <c:pt idx="10">
                  <c:v>0</c:v>
                </c:pt>
                <c:pt idx="11">
                  <c:v>3.5941074830795863</c:v>
                </c:pt>
                <c:pt idx="12">
                  <c:v>4.6871727273505881</c:v>
                </c:pt>
                <c:pt idx="13">
                  <c:v>4.3231498065161915</c:v>
                </c:pt>
                <c:pt idx="14">
                  <c:v>3.0114229567036834</c:v>
                </c:pt>
              </c:numCache>
            </c:numRef>
          </c:yVal>
          <c:smooth val="0"/>
          <c:extLst>
            <c:ext xmlns:c16="http://schemas.microsoft.com/office/drawing/2014/chart" uri="{C3380CC4-5D6E-409C-BE32-E72D297353CC}">
              <c16:uniqueId val="{00000002-AB8B-4AA0-97AF-F9C6F2660972}"/>
            </c:ext>
          </c:extLst>
        </c:ser>
        <c:ser>
          <c:idx val="3"/>
          <c:order val="3"/>
          <c:tx>
            <c:strRef>
              <c:f>'1996 alfalfa graphing'!$BF$239</c:f>
              <c:strCache>
                <c:ptCount val="1"/>
                <c:pt idx="0">
                  <c:v>NE_4</c:v>
                </c:pt>
              </c:strCache>
            </c:strRef>
          </c:tx>
          <c:spPr>
            <a:ln w="12700">
              <a:solidFill>
                <a:srgbClr val="00FFFF"/>
              </a:solidFill>
              <a:prstDash val="solid"/>
            </a:ln>
          </c:spPr>
          <c:marker>
            <c:symbol val="triangle"/>
            <c:size val="3"/>
            <c:spPr>
              <a:solidFill>
                <a:srgbClr val="000000"/>
              </a:solidFill>
              <a:ln>
                <a:solidFill>
                  <a:srgbClr val="000000"/>
                </a:solidFill>
                <a:prstDash val="solid"/>
              </a:ln>
            </c:spPr>
          </c:marker>
          <c:xVal>
            <c:numRef>
              <c:f>'1996 alfalfa graphing'!$BB$240:$BB$300</c:f>
              <c:numCache>
                <c:formatCode>General</c:formatCode>
                <c:ptCount val="61"/>
                <c:pt idx="0">
                  <c:v>2</c:v>
                </c:pt>
                <c:pt idx="1">
                  <c:v>20.399999999999999</c:v>
                </c:pt>
                <c:pt idx="2">
                  <c:v>37.549999999999997</c:v>
                </c:pt>
                <c:pt idx="3">
                  <c:v>63.95</c:v>
                </c:pt>
                <c:pt idx="4">
                  <c:v>51</c:v>
                </c:pt>
                <c:pt idx="5">
                  <c:v>2</c:v>
                </c:pt>
                <c:pt idx="6">
                  <c:v>28.15</c:v>
                </c:pt>
                <c:pt idx="7">
                  <c:v>64.099999999999994</c:v>
                </c:pt>
                <c:pt idx="8">
                  <c:v>70.150000000000006</c:v>
                </c:pt>
                <c:pt idx="9">
                  <c:v>62</c:v>
                </c:pt>
                <c:pt idx="10">
                  <c:v>2</c:v>
                </c:pt>
                <c:pt idx="11">
                  <c:v>40.450000000000003</c:v>
                </c:pt>
                <c:pt idx="12">
                  <c:v>59.8</c:v>
                </c:pt>
                <c:pt idx="13">
                  <c:v>48.45</c:v>
                </c:pt>
                <c:pt idx="14">
                  <c:v>44.2</c:v>
                </c:pt>
                <c:pt idx="15">
                  <c:v>2</c:v>
                </c:pt>
                <c:pt idx="16">
                  <c:v>37.5</c:v>
                </c:pt>
                <c:pt idx="17">
                  <c:v>51.6</c:v>
                </c:pt>
                <c:pt idx="18">
                  <c:v>53.55</c:v>
                </c:pt>
                <c:pt idx="19">
                  <c:v>55.8</c:v>
                </c:pt>
                <c:pt idx="20">
                  <c:v>2</c:v>
                </c:pt>
                <c:pt idx="21">
                  <c:v>20.95</c:v>
                </c:pt>
                <c:pt idx="22">
                  <c:v>39.450000000000003</c:v>
                </c:pt>
                <c:pt idx="23">
                  <c:v>65</c:v>
                </c:pt>
                <c:pt idx="24">
                  <c:v>54</c:v>
                </c:pt>
                <c:pt idx="25">
                  <c:v>2</c:v>
                </c:pt>
                <c:pt idx="26">
                  <c:v>32.299999999999997</c:v>
                </c:pt>
                <c:pt idx="27">
                  <c:v>64.05</c:v>
                </c:pt>
                <c:pt idx="28">
                  <c:v>72.650000000000006</c:v>
                </c:pt>
                <c:pt idx="29">
                  <c:v>61.8</c:v>
                </c:pt>
                <c:pt idx="30">
                  <c:v>2</c:v>
                </c:pt>
                <c:pt idx="31">
                  <c:v>41.15</c:v>
                </c:pt>
                <c:pt idx="32">
                  <c:v>57.85</c:v>
                </c:pt>
                <c:pt idx="33">
                  <c:v>46.65</c:v>
                </c:pt>
                <c:pt idx="34">
                  <c:v>47.2</c:v>
                </c:pt>
                <c:pt idx="35">
                  <c:v>2</c:v>
                </c:pt>
                <c:pt idx="36">
                  <c:v>39.25</c:v>
                </c:pt>
                <c:pt idx="37">
                  <c:v>48.8</c:v>
                </c:pt>
                <c:pt idx="38">
                  <c:v>53.6</c:v>
                </c:pt>
                <c:pt idx="39">
                  <c:v>56</c:v>
                </c:pt>
                <c:pt idx="40">
                  <c:v>10</c:v>
                </c:pt>
                <c:pt idx="41">
                  <c:v>12</c:v>
                </c:pt>
                <c:pt idx="42">
                  <c:v>14</c:v>
                </c:pt>
                <c:pt idx="43">
                  <c:v>16</c:v>
                </c:pt>
                <c:pt idx="44">
                  <c:v>18</c:v>
                </c:pt>
                <c:pt idx="45">
                  <c:v>20</c:v>
                </c:pt>
                <c:pt idx="46">
                  <c:v>22</c:v>
                </c:pt>
                <c:pt idx="47">
                  <c:v>24</c:v>
                </c:pt>
                <c:pt idx="48">
                  <c:v>26</c:v>
                </c:pt>
                <c:pt idx="49">
                  <c:v>28</c:v>
                </c:pt>
                <c:pt idx="50">
                  <c:v>30</c:v>
                </c:pt>
                <c:pt idx="51">
                  <c:v>32</c:v>
                </c:pt>
                <c:pt idx="52">
                  <c:v>34</c:v>
                </c:pt>
                <c:pt idx="53">
                  <c:v>36</c:v>
                </c:pt>
                <c:pt idx="54">
                  <c:v>38</c:v>
                </c:pt>
                <c:pt idx="55">
                  <c:v>40</c:v>
                </c:pt>
                <c:pt idx="56">
                  <c:v>42</c:v>
                </c:pt>
                <c:pt idx="57">
                  <c:v>44</c:v>
                </c:pt>
                <c:pt idx="58">
                  <c:v>46</c:v>
                </c:pt>
                <c:pt idx="59">
                  <c:v>48</c:v>
                </c:pt>
                <c:pt idx="60">
                  <c:v>50</c:v>
                </c:pt>
              </c:numCache>
            </c:numRef>
          </c:xVal>
          <c:yVal>
            <c:numRef>
              <c:f>'1996 alfalfa graphing'!$BF$240:$BF$300</c:f>
              <c:numCache>
                <c:formatCode>General</c:formatCode>
                <c:ptCount val="61"/>
                <c:pt idx="15">
                  <c:v>0</c:v>
                </c:pt>
                <c:pt idx="16">
                  <c:v>3.5218336683169462</c:v>
                </c:pt>
                <c:pt idx="17">
                  <c:v>4.0755224751818462</c:v>
                </c:pt>
                <c:pt idx="18">
                  <c:v>3.2461806376573095</c:v>
                </c:pt>
                <c:pt idx="19">
                  <c:v>2.3971889311489356</c:v>
                </c:pt>
              </c:numCache>
            </c:numRef>
          </c:yVal>
          <c:smooth val="0"/>
          <c:extLst>
            <c:ext xmlns:c16="http://schemas.microsoft.com/office/drawing/2014/chart" uri="{C3380CC4-5D6E-409C-BE32-E72D297353CC}">
              <c16:uniqueId val="{00000003-AB8B-4AA0-97AF-F9C6F2660972}"/>
            </c:ext>
          </c:extLst>
        </c:ser>
        <c:ser>
          <c:idx val="4"/>
          <c:order val="4"/>
          <c:tx>
            <c:strRef>
              <c:f>'1996 alfalfa graphing'!$BG$239</c:f>
              <c:strCache>
                <c:ptCount val="1"/>
                <c:pt idx="0">
                  <c:v>SE_1</c:v>
                </c:pt>
              </c:strCache>
            </c:strRef>
          </c:tx>
          <c:spPr>
            <a:ln w="12700">
              <a:solidFill>
                <a:srgbClr val="800080"/>
              </a:solidFill>
              <a:prstDash val="solid"/>
            </a:ln>
          </c:spPr>
          <c:marker>
            <c:symbol val="square"/>
            <c:size val="3"/>
            <c:spPr>
              <a:solidFill>
                <a:srgbClr val="000000"/>
              </a:solidFill>
              <a:ln>
                <a:solidFill>
                  <a:srgbClr val="000000"/>
                </a:solidFill>
                <a:prstDash val="solid"/>
              </a:ln>
            </c:spPr>
          </c:marker>
          <c:xVal>
            <c:numRef>
              <c:f>'1996 alfalfa graphing'!$BB$240:$BB$300</c:f>
              <c:numCache>
                <c:formatCode>General</c:formatCode>
                <c:ptCount val="61"/>
                <c:pt idx="0">
                  <c:v>2</c:v>
                </c:pt>
                <c:pt idx="1">
                  <c:v>20.399999999999999</c:v>
                </c:pt>
                <c:pt idx="2">
                  <c:v>37.549999999999997</c:v>
                </c:pt>
                <c:pt idx="3">
                  <c:v>63.95</c:v>
                </c:pt>
                <c:pt idx="4">
                  <c:v>51</c:v>
                </c:pt>
                <c:pt idx="5">
                  <c:v>2</c:v>
                </c:pt>
                <c:pt idx="6">
                  <c:v>28.15</c:v>
                </c:pt>
                <c:pt idx="7">
                  <c:v>64.099999999999994</c:v>
                </c:pt>
                <c:pt idx="8">
                  <c:v>70.150000000000006</c:v>
                </c:pt>
                <c:pt idx="9">
                  <c:v>62</c:v>
                </c:pt>
                <c:pt idx="10">
                  <c:v>2</c:v>
                </c:pt>
                <c:pt idx="11">
                  <c:v>40.450000000000003</c:v>
                </c:pt>
                <c:pt idx="12">
                  <c:v>59.8</c:v>
                </c:pt>
                <c:pt idx="13">
                  <c:v>48.45</c:v>
                </c:pt>
                <c:pt idx="14">
                  <c:v>44.2</c:v>
                </c:pt>
                <c:pt idx="15">
                  <c:v>2</c:v>
                </c:pt>
                <c:pt idx="16">
                  <c:v>37.5</c:v>
                </c:pt>
                <c:pt idx="17">
                  <c:v>51.6</c:v>
                </c:pt>
                <c:pt idx="18">
                  <c:v>53.55</c:v>
                </c:pt>
                <c:pt idx="19">
                  <c:v>55.8</c:v>
                </c:pt>
                <c:pt idx="20">
                  <c:v>2</c:v>
                </c:pt>
                <c:pt idx="21">
                  <c:v>20.95</c:v>
                </c:pt>
                <c:pt idx="22">
                  <c:v>39.450000000000003</c:v>
                </c:pt>
                <c:pt idx="23">
                  <c:v>65</c:v>
                </c:pt>
                <c:pt idx="24">
                  <c:v>54</c:v>
                </c:pt>
                <c:pt idx="25">
                  <c:v>2</c:v>
                </c:pt>
                <c:pt idx="26">
                  <c:v>32.299999999999997</c:v>
                </c:pt>
                <c:pt idx="27">
                  <c:v>64.05</c:v>
                </c:pt>
                <c:pt idx="28">
                  <c:v>72.650000000000006</c:v>
                </c:pt>
                <c:pt idx="29">
                  <c:v>61.8</c:v>
                </c:pt>
                <c:pt idx="30">
                  <c:v>2</c:v>
                </c:pt>
                <c:pt idx="31">
                  <c:v>41.15</c:v>
                </c:pt>
                <c:pt idx="32">
                  <c:v>57.85</c:v>
                </c:pt>
                <c:pt idx="33">
                  <c:v>46.65</c:v>
                </c:pt>
                <c:pt idx="34">
                  <c:v>47.2</c:v>
                </c:pt>
                <c:pt idx="35">
                  <c:v>2</c:v>
                </c:pt>
                <c:pt idx="36">
                  <c:v>39.25</c:v>
                </c:pt>
                <c:pt idx="37">
                  <c:v>48.8</c:v>
                </c:pt>
                <c:pt idx="38">
                  <c:v>53.6</c:v>
                </c:pt>
                <c:pt idx="39">
                  <c:v>56</c:v>
                </c:pt>
                <c:pt idx="40">
                  <c:v>10</c:v>
                </c:pt>
                <c:pt idx="41">
                  <c:v>12</c:v>
                </c:pt>
                <c:pt idx="42">
                  <c:v>14</c:v>
                </c:pt>
                <c:pt idx="43">
                  <c:v>16</c:v>
                </c:pt>
                <c:pt idx="44">
                  <c:v>18</c:v>
                </c:pt>
                <c:pt idx="45">
                  <c:v>20</c:v>
                </c:pt>
                <c:pt idx="46">
                  <c:v>22</c:v>
                </c:pt>
                <c:pt idx="47">
                  <c:v>24</c:v>
                </c:pt>
                <c:pt idx="48">
                  <c:v>26</c:v>
                </c:pt>
                <c:pt idx="49">
                  <c:v>28</c:v>
                </c:pt>
                <c:pt idx="50">
                  <c:v>30</c:v>
                </c:pt>
                <c:pt idx="51">
                  <c:v>32</c:v>
                </c:pt>
                <c:pt idx="52">
                  <c:v>34</c:v>
                </c:pt>
                <c:pt idx="53">
                  <c:v>36</c:v>
                </c:pt>
                <c:pt idx="54">
                  <c:v>38</c:v>
                </c:pt>
                <c:pt idx="55">
                  <c:v>40</c:v>
                </c:pt>
                <c:pt idx="56">
                  <c:v>42</c:v>
                </c:pt>
                <c:pt idx="57">
                  <c:v>44</c:v>
                </c:pt>
                <c:pt idx="58">
                  <c:v>46</c:v>
                </c:pt>
                <c:pt idx="59">
                  <c:v>48</c:v>
                </c:pt>
                <c:pt idx="60">
                  <c:v>50</c:v>
                </c:pt>
              </c:numCache>
            </c:numRef>
          </c:xVal>
          <c:yVal>
            <c:numRef>
              <c:f>'1996 alfalfa graphing'!$BG$240:$BG$300</c:f>
              <c:numCache>
                <c:formatCode>General</c:formatCode>
                <c:ptCount val="61"/>
                <c:pt idx="20">
                  <c:v>0</c:v>
                </c:pt>
                <c:pt idx="21">
                  <c:v>4.0417157153963652</c:v>
                </c:pt>
                <c:pt idx="22">
                  <c:v>6.0608181977655224</c:v>
                </c:pt>
                <c:pt idx="23">
                  <c:v>7.4357377137459935</c:v>
                </c:pt>
                <c:pt idx="24">
                  <c:v>6.1540772921217828</c:v>
                </c:pt>
              </c:numCache>
            </c:numRef>
          </c:yVal>
          <c:smooth val="0"/>
          <c:extLst>
            <c:ext xmlns:c16="http://schemas.microsoft.com/office/drawing/2014/chart" uri="{C3380CC4-5D6E-409C-BE32-E72D297353CC}">
              <c16:uniqueId val="{00000004-AB8B-4AA0-97AF-F9C6F2660972}"/>
            </c:ext>
          </c:extLst>
        </c:ser>
        <c:ser>
          <c:idx val="5"/>
          <c:order val="5"/>
          <c:tx>
            <c:strRef>
              <c:f>'1996 alfalfa graphing'!$BH$239</c:f>
              <c:strCache>
                <c:ptCount val="1"/>
                <c:pt idx="0">
                  <c:v>SE_2</c:v>
                </c:pt>
              </c:strCache>
            </c:strRef>
          </c:tx>
          <c:spPr>
            <a:ln w="12700">
              <a:solidFill>
                <a:srgbClr val="800000"/>
              </a:solidFill>
              <a:prstDash val="solid"/>
            </a:ln>
          </c:spPr>
          <c:marker>
            <c:symbol val="none"/>
          </c:marker>
          <c:xVal>
            <c:numRef>
              <c:f>'1996 alfalfa graphing'!$BB$240:$BB$300</c:f>
              <c:numCache>
                <c:formatCode>General</c:formatCode>
                <c:ptCount val="61"/>
                <c:pt idx="0">
                  <c:v>2</c:v>
                </c:pt>
                <c:pt idx="1">
                  <c:v>20.399999999999999</c:v>
                </c:pt>
                <c:pt idx="2">
                  <c:v>37.549999999999997</c:v>
                </c:pt>
                <c:pt idx="3">
                  <c:v>63.95</c:v>
                </c:pt>
                <c:pt idx="4">
                  <c:v>51</c:v>
                </c:pt>
                <c:pt idx="5">
                  <c:v>2</c:v>
                </c:pt>
                <c:pt idx="6">
                  <c:v>28.15</c:v>
                </c:pt>
                <c:pt idx="7">
                  <c:v>64.099999999999994</c:v>
                </c:pt>
                <c:pt idx="8">
                  <c:v>70.150000000000006</c:v>
                </c:pt>
                <c:pt idx="9">
                  <c:v>62</c:v>
                </c:pt>
                <c:pt idx="10">
                  <c:v>2</c:v>
                </c:pt>
                <c:pt idx="11">
                  <c:v>40.450000000000003</c:v>
                </c:pt>
                <c:pt idx="12">
                  <c:v>59.8</c:v>
                </c:pt>
                <c:pt idx="13">
                  <c:v>48.45</c:v>
                </c:pt>
                <c:pt idx="14">
                  <c:v>44.2</c:v>
                </c:pt>
                <c:pt idx="15">
                  <c:v>2</c:v>
                </c:pt>
                <c:pt idx="16">
                  <c:v>37.5</c:v>
                </c:pt>
                <c:pt idx="17">
                  <c:v>51.6</c:v>
                </c:pt>
                <c:pt idx="18">
                  <c:v>53.55</c:v>
                </c:pt>
                <c:pt idx="19">
                  <c:v>55.8</c:v>
                </c:pt>
                <c:pt idx="20">
                  <c:v>2</c:v>
                </c:pt>
                <c:pt idx="21">
                  <c:v>20.95</c:v>
                </c:pt>
                <c:pt idx="22">
                  <c:v>39.450000000000003</c:v>
                </c:pt>
                <c:pt idx="23">
                  <c:v>65</c:v>
                </c:pt>
                <c:pt idx="24">
                  <c:v>54</c:v>
                </c:pt>
                <c:pt idx="25">
                  <c:v>2</c:v>
                </c:pt>
                <c:pt idx="26">
                  <c:v>32.299999999999997</c:v>
                </c:pt>
                <c:pt idx="27">
                  <c:v>64.05</c:v>
                </c:pt>
                <c:pt idx="28">
                  <c:v>72.650000000000006</c:v>
                </c:pt>
                <c:pt idx="29">
                  <c:v>61.8</c:v>
                </c:pt>
                <c:pt idx="30">
                  <c:v>2</c:v>
                </c:pt>
                <c:pt idx="31">
                  <c:v>41.15</c:v>
                </c:pt>
                <c:pt idx="32">
                  <c:v>57.85</c:v>
                </c:pt>
                <c:pt idx="33">
                  <c:v>46.65</c:v>
                </c:pt>
                <c:pt idx="34">
                  <c:v>47.2</c:v>
                </c:pt>
                <c:pt idx="35">
                  <c:v>2</c:v>
                </c:pt>
                <c:pt idx="36">
                  <c:v>39.25</c:v>
                </c:pt>
                <c:pt idx="37">
                  <c:v>48.8</c:v>
                </c:pt>
                <c:pt idx="38">
                  <c:v>53.6</c:v>
                </c:pt>
                <c:pt idx="39">
                  <c:v>56</c:v>
                </c:pt>
                <c:pt idx="40">
                  <c:v>10</c:v>
                </c:pt>
                <c:pt idx="41">
                  <c:v>12</c:v>
                </c:pt>
                <c:pt idx="42">
                  <c:v>14</c:v>
                </c:pt>
                <c:pt idx="43">
                  <c:v>16</c:v>
                </c:pt>
                <c:pt idx="44">
                  <c:v>18</c:v>
                </c:pt>
                <c:pt idx="45">
                  <c:v>20</c:v>
                </c:pt>
                <c:pt idx="46">
                  <c:v>22</c:v>
                </c:pt>
                <c:pt idx="47">
                  <c:v>24</c:v>
                </c:pt>
                <c:pt idx="48">
                  <c:v>26</c:v>
                </c:pt>
                <c:pt idx="49">
                  <c:v>28</c:v>
                </c:pt>
                <c:pt idx="50">
                  <c:v>30</c:v>
                </c:pt>
                <c:pt idx="51">
                  <c:v>32</c:v>
                </c:pt>
                <c:pt idx="52">
                  <c:v>34</c:v>
                </c:pt>
                <c:pt idx="53">
                  <c:v>36</c:v>
                </c:pt>
                <c:pt idx="54">
                  <c:v>38</c:v>
                </c:pt>
                <c:pt idx="55">
                  <c:v>40</c:v>
                </c:pt>
                <c:pt idx="56">
                  <c:v>42</c:v>
                </c:pt>
                <c:pt idx="57">
                  <c:v>44</c:v>
                </c:pt>
                <c:pt idx="58">
                  <c:v>46</c:v>
                </c:pt>
                <c:pt idx="59">
                  <c:v>48</c:v>
                </c:pt>
                <c:pt idx="60">
                  <c:v>50</c:v>
                </c:pt>
              </c:numCache>
            </c:numRef>
          </c:xVal>
          <c:yVal>
            <c:numRef>
              <c:f>'1996 alfalfa graphing'!$BH$240:$BH$300</c:f>
              <c:numCache>
                <c:formatCode>General</c:formatCode>
                <c:ptCount val="61"/>
                <c:pt idx="25">
                  <c:v>0</c:v>
                </c:pt>
                <c:pt idx="26">
                  <c:v>3.2272061959975078</c:v>
                </c:pt>
                <c:pt idx="27">
                  <c:v>4.0959888865092138</c:v>
                </c:pt>
                <c:pt idx="28">
                  <c:v>4.1765155087144166</c:v>
                </c:pt>
                <c:pt idx="29">
                  <c:v>3.1257573567599879</c:v>
                </c:pt>
              </c:numCache>
            </c:numRef>
          </c:yVal>
          <c:smooth val="0"/>
          <c:extLst>
            <c:ext xmlns:c16="http://schemas.microsoft.com/office/drawing/2014/chart" uri="{C3380CC4-5D6E-409C-BE32-E72D297353CC}">
              <c16:uniqueId val="{00000005-AB8B-4AA0-97AF-F9C6F2660972}"/>
            </c:ext>
          </c:extLst>
        </c:ser>
        <c:ser>
          <c:idx val="6"/>
          <c:order val="6"/>
          <c:tx>
            <c:strRef>
              <c:f>'1996 alfalfa graphing'!$BI$239</c:f>
              <c:strCache>
                <c:ptCount val="1"/>
                <c:pt idx="0">
                  <c:v>SE_3</c:v>
                </c:pt>
              </c:strCache>
            </c:strRef>
          </c:tx>
          <c:spPr>
            <a:ln w="12700">
              <a:solidFill>
                <a:srgbClr val="008080"/>
              </a:solidFill>
              <a:prstDash val="solid"/>
            </a:ln>
          </c:spPr>
          <c:marker>
            <c:symbol val="circle"/>
            <c:size val="3"/>
            <c:spPr>
              <a:solidFill>
                <a:srgbClr val="000000"/>
              </a:solidFill>
              <a:ln>
                <a:solidFill>
                  <a:srgbClr val="000000"/>
                </a:solidFill>
                <a:prstDash val="solid"/>
              </a:ln>
            </c:spPr>
          </c:marker>
          <c:xVal>
            <c:numRef>
              <c:f>'1996 alfalfa graphing'!$BB$240:$BB$300</c:f>
              <c:numCache>
                <c:formatCode>General</c:formatCode>
                <c:ptCount val="61"/>
                <c:pt idx="0">
                  <c:v>2</c:v>
                </c:pt>
                <c:pt idx="1">
                  <c:v>20.399999999999999</c:v>
                </c:pt>
                <c:pt idx="2">
                  <c:v>37.549999999999997</c:v>
                </c:pt>
                <c:pt idx="3">
                  <c:v>63.95</c:v>
                </c:pt>
                <c:pt idx="4">
                  <c:v>51</c:v>
                </c:pt>
                <c:pt idx="5">
                  <c:v>2</c:v>
                </c:pt>
                <c:pt idx="6">
                  <c:v>28.15</c:v>
                </c:pt>
                <c:pt idx="7">
                  <c:v>64.099999999999994</c:v>
                </c:pt>
                <c:pt idx="8">
                  <c:v>70.150000000000006</c:v>
                </c:pt>
                <c:pt idx="9">
                  <c:v>62</c:v>
                </c:pt>
                <c:pt idx="10">
                  <c:v>2</c:v>
                </c:pt>
                <c:pt idx="11">
                  <c:v>40.450000000000003</c:v>
                </c:pt>
                <c:pt idx="12">
                  <c:v>59.8</c:v>
                </c:pt>
                <c:pt idx="13">
                  <c:v>48.45</c:v>
                </c:pt>
                <c:pt idx="14">
                  <c:v>44.2</c:v>
                </c:pt>
                <c:pt idx="15">
                  <c:v>2</c:v>
                </c:pt>
                <c:pt idx="16">
                  <c:v>37.5</c:v>
                </c:pt>
                <c:pt idx="17">
                  <c:v>51.6</c:v>
                </c:pt>
                <c:pt idx="18">
                  <c:v>53.55</c:v>
                </c:pt>
                <c:pt idx="19">
                  <c:v>55.8</c:v>
                </c:pt>
                <c:pt idx="20">
                  <c:v>2</c:v>
                </c:pt>
                <c:pt idx="21">
                  <c:v>20.95</c:v>
                </c:pt>
                <c:pt idx="22">
                  <c:v>39.450000000000003</c:v>
                </c:pt>
                <c:pt idx="23">
                  <c:v>65</c:v>
                </c:pt>
                <c:pt idx="24">
                  <c:v>54</c:v>
                </c:pt>
                <c:pt idx="25">
                  <c:v>2</c:v>
                </c:pt>
                <c:pt idx="26">
                  <c:v>32.299999999999997</c:v>
                </c:pt>
                <c:pt idx="27">
                  <c:v>64.05</c:v>
                </c:pt>
                <c:pt idx="28">
                  <c:v>72.650000000000006</c:v>
                </c:pt>
                <c:pt idx="29">
                  <c:v>61.8</c:v>
                </c:pt>
                <c:pt idx="30">
                  <c:v>2</c:v>
                </c:pt>
                <c:pt idx="31">
                  <c:v>41.15</c:v>
                </c:pt>
                <c:pt idx="32">
                  <c:v>57.85</c:v>
                </c:pt>
                <c:pt idx="33">
                  <c:v>46.65</c:v>
                </c:pt>
                <c:pt idx="34">
                  <c:v>47.2</c:v>
                </c:pt>
                <c:pt idx="35">
                  <c:v>2</c:v>
                </c:pt>
                <c:pt idx="36">
                  <c:v>39.25</c:v>
                </c:pt>
                <c:pt idx="37">
                  <c:v>48.8</c:v>
                </c:pt>
                <c:pt idx="38">
                  <c:v>53.6</c:v>
                </c:pt>
                <c:pt idx="39">
                  <c:v>56</c:v>
                </c:pt>
                <c:pt idx="40">
                  <c:v>10</c:v>
                </c:pt>
                <c:pt idx="41">
                  <c:v>12</c:v>
                </c:pt>
                <c:pt idx="42">
                  <c:v>14</c:v>
                </c:pt>
                <c:pt idx="43">
                  <c:v>16</c:v>
                </c:pt>
                <c:pt idx="44">
                  <c:v>18</c:v>
                </c:pt>
                <c:pt idx="45">
                  <c:v>20</c:v>
                </c:pt>
                <c:pt idx="46">
                  <c:v>22</c:v>
                </c:pt>
                <c:pt idx="47">
                  <c:v>24</c:v>
                </c:pt>
                <c:pt idx="48">
                  <c:v>26</c:v>
                </c:pt>
                <c:pt idx="49">
                  <c:v>28</c:v>
                </c:pt>
                <c:pt idx="50">
                  <c:v>30</c:v>
                </c:pt>
                <c:pt idx="51">
                  <c:v>32</c:v>
                </c:pt>
                <c:pt idx="52">
                  <c:v>34</c:v>
                </c:pt>
                <c:pt idx="53">
                  <c:v>36</c:v>
                </c:pt>
                <c:pt idx="54">
                  <c:v>38</c:v>
                </c:pt>
                <c:pt idx="55">
                  <c:v>40</c:v>
                </c:pt>
                <c:pt idx="56">
                  <c:v>42</c:v>
                </c:pt>
                <c:pt idx="57">
                  <c:v>44</c:v>
                </c:pt>
                <c:pt idx="58">
                  <c:v>46</c:v>
                </c:pt>
                <c:pt idx="59">
                  <c:v>48</c:v>
                </c:pt>
                <c:pt idx="60">
                  <c:v>50</c:v>
                </c:pt>
              </c:numCache>
            </c:numRef>
          </c:xVal>
          <c:yVal>
            <c:numRef>
              <c:f>'1996 alfalfa graphing'!$BI$240:$BI$300</c:f>
              <c:numCache>
                <c:formatCode>General</c:formatCode>
                <c:ptCount val="61"/>
                <c:pt idx="30">
                  <c:v>0</c:v>
                </c:pt>
                <c:pt idx="31">
                  <c:v>3.3250848096369863</c:v>
                </c:pt>
                <c:pt idx="32">
                  <c:v>4.9772255572269897</c:v>
                </c:pt>
                <c:pt idx="33">
                  <c:v>3.7571007458158396</c:v>
                </c:pt>
                <c:pt idx="34">
                  <c:v>2.4723706242055568</c:v>
                </c:pt>
              </c:numCache>
            </c:numRef>
          </c:yVal>
          <c:smooth val="0"/>
          <c:extLst>
            <c:ext xmlns:c16="http://schemas.microsoft.com/office/drawing/2014/chart" uri="{C3380CC4-5D6E-409C-BE32-E72D297353CC}">
              <c16:uniqueId val="{00000006-AB8B-4AA0-97AF-F9C6F2660972}"/>
            </c:ext>
          </c:extLst>
        </c:ser>
        <c:ser>
          <c:idx val="7"/>
          <c:order val="7"/>
          <c:tx>
            <c:strRef>
              <c:f>'1996 alfalfa graphing'!$BJ$239</c:f>
              <c:strCache>
                <c:ptCount val="1"/>
                <c:pt idx="0">
                  <c:v>SE_4</c:v>
                </c:pt>
              </c:strCache>
            </c:strRef>
          </c:tx>
          <c:spPr>
            <a:ln w="12700">
              <a:solidFill>
                <a:srgbClr val="0000FF"/>
              </a:solidFill>
              <a:prstDash val="solid"/>
            </a:ln>
          </c:spPr>
          <c:marker>
            <c:symbol val="dash"/>
            <c:size val="3"/>
            <c:spPr>
              <a:solidFill>
                <a:srgbClr val="000000"/>
              </a:solidFill>
              <a:ln>
                <a:solidFill>
                  <a:srgbClr val="000000"/>
                </a:solidFill>
                <a:prstDash val="solid"/>
              </a:ln>
            </c:spPr>
          </c:marker>
          <c:xVal>
            <c:numRef>
              <c:f>'1996 alfalfa graphing'!$BB$240:$BB$300</c:f>
              <c:numCache>
                <c:formatCode>General</c:formatCode>
                <c:ptCount val="61"/>
                <c:pt idx="0">
                  <c:v>2</c:v>
                </c:pt>
                <c:pt idx="1">
                  <c:v>20.399999999999999</c:v>
                </c:pt>
                <c:pt idx="2">
                  <c:v>37.549999999999997</c:v>
                </c:pt>
                <c:pt idx="3">
                  <c:v>63.95</c:v>
                </c:pt>
                <c:pt idx="4">
                  <c:v>51</c:v>
                </c:pt>
                <c:pt idx="5">
                  <c:v>2</c:v>
                </c:pt>
                <c:pt idx="6">
                  <c:v>28.15</c:v>
                </c:pt>
                <c:pt idx="7">
                  <c:v>64.099999999999994</c:v>
                </c:pt>
                <c:pt idx="8">
                  <c:v>70.150000000000006</c:v>
                </c:pt>
                <c:pt idx="9">
                  <c:v>62</c:v>
                </c:pt>
                <c:pt idx="10">
                  <c:v>2</c:v>
                </c:pt>
                <c:pt idx="11">
                  <c:v>40.450000000000003</c:v>
                </c:pt>
                <c:pt idx="12">
                  <c:v>59.8</c:v>
                </c:pt>
                <c:pt idx="13">
                  <c:v>48.45</c:v>
                </c:pt>
                <c:pt idx="14">
                  <c:v>44.2</c:v>
                </c:pt>
                <c:pt idx="15">
                  <c:v>2</c:v>
                </c:pt>
                <c:pt idx="16">
                  <c:v>37.5</c:v>
                </c:pt>
                <c:pt idx="17">
                  <c:v>51.6</c:v>
                </c:pt>
                <c:pt idx="18">
                  <c:v>53.55</c:v>
                </c:pt>
                <c:pt idx="19">
                  <c:v>55.8</c:v>
                </c:pt>
                <c:pt idx="20">
                  <c:v>2</c:v>
                </c:pt>
                <c:pt idx="21">
                  <c:v>20.95</c:v>
                </c:pt>
                <c:pt idx="22">
                  <c:v>39.450000000000003</c:v>
                </c:pt>
                <c:pt idx="23">
                  <c:v>65</c:v>
                </c:pt>
                <c:pt idx="24">
                  <c:v>54</c:v>
                </c:pt>
                <c:pt idx="25">
                  <c:v>2</c:v>
                </c:pt>
                <c:pt idx="26">
                  <c:v>32.299999999999997</c:v>
                </c:pt>
                <c:pt idx="27">
                  <c:v>64.05</c:v>
                </c:pt>
                <c:pt idx="28">
                  <c:v>72.650000000000006</c:v>
                </c:pt>
                <c:pt idx="29">
                  <c:v>61.8</c:v>
                </c:pt>
                <c:pt idx="30">
                  <c:v>2</c:v>
                </c:pt>
                <c:pt idx="31">
                  <c:v>41.15</c:v>
                </c:pt>
                <c:pt idx="32">
                  <c:v>57.85</c:v>
                </c:pt>
                <c:pt idx="33">
                  <c:v>46.65</c:v>
                </c:pt>
                <c:pt idx="34">
                  <c:v>47.2</c:v>
                </c:pt>
                <c:pt idx="35">
                  <c:v>2</c:v>
                </c:pt>
                <c:pt idx="36">
                  <c:v>39.25</c:v>
                </c:pt>
                <c:pt idx="37">
                  <c:v>48.8</c:v>
                </c:pt>
                <c:pt idx="38">
                  <c:v>53.6</c:v>
                </c:pt>
                <c:pt idx="39">
                  <c:v>56</c:v>
                </c:pt>
                <c:pt idx="40">
                  <c:v>10</c:v>
                </c:pt>
                <c:pt idx="41">
                  <c:v>12</c:v>
                </c:pt>
                <c:pt idx="42">
                  <c:v>14</c:v>
                </c:pt>
                <c:pt idx="43">
                  <c:v>16</c:v>
                </c:pt>
                <c:pt idx="44">
                  <c:v>18</c:v>
                </c:pt>
                <c:pt idx="45">
                  <c:v>20</c:v>
                </c:pt>
                <c:pt idx="46">
                  <c:v>22</c:v>
                </c:pt>
                <c:pt idx="47">
                  <c:v>24</c:v>
                </c:pt>
                <c:pt idx="48">
                  <c:v>26</c:v>
                </c:pt>
                <c:pt idx="49">
                  <c:v>28</c:v>
                </c:pt>
                <c:pt idx="50">
                  <c:v>30</c:v>
                </c:pt>
                <c:pt idx="51">
                  <c:v>32</c:v>
                </c:pt>
                <c:pt idx="52">
                  <c:v>34</c:v>
                </c:pt>
                <c:pt idx="53">
                  <c:v>36</c:v>
                </c:pt>
                <c:pt idx="54">
                  <c:v>38</c:v>
                </c:pt>
                <c:pt idx="55">
                  <c:v>40</c:v>
                </c:pt>
                <c:pt idx="56">
                  <c:v>42</c:v>
                </c:pt>
                <c:pt idx="57">
                  <c:v>44</c:v>
                </c:pt>
                <c:pt idx="58">
                  <c:v>46</c:v>
                </c:pt>
                <c:pt idx="59">
                  <c:v>48</c:v>
                </c:pt>
                <c:pt idx="60">
                  <c:v>50</c:v>
                </c:pt>
              </c:numCache>
            </c:numRef>
          </c:xVal>
          <c:yVal>
            <c:numRef>
              <c:f>'1996 alfalfa graphing'!$BJ$240:$BJ$300</c:f>
              <c:numCache>
                <c:formatCode>General</c:formatCode>
                <c:ptCount val="61"/>
                <c:pt idx="35">
                  <c:v>0</c:v>
                </c:pt>
                <c:pt idx="36">
                  <c:v>3.4119369521655267</c:v>
                </c:pt>
                <c:pt idx="37">
                  <c:v>3.7630626259108109</c:v>
                </c:pt>
                <c:pt idx="38">
                  <c:v>2.9218867029392261</c:v>
                </c:pt>
                <c:pt idx="39">
                  <c:v>1.9650411669695571</c:v>
                </c:pt>
              </c:numCache>
            </c:numRef>
          </c:yVal>
          <c:smooth val="0"/>
          <c:extLst>
            <c:ext xmlns:c16="http://schemas.microsoft.com/office/drawing/2014/chart" uri="{C3380CC4-5D6E-409C-BE32-E72D297353CC}">
              <c16:uniqueId val="{00000007-AB8B-4AA0-97AF-F9C6F2660972}"/>
            </c:ext>
          </c:extLst>
        </c:ser>
        <c:ser>
          <c:idx val="8"/>
          <c:order val="8"/>
          <c:tx>
            <c:strRef>
              <c:f>'1996 alfalfa graphing'!$BK$239</c:f>
              <c:strCache>
                <c:ptCount val="1"/>
                <c:pt idx="0">
                  <c:v>Allen</c:v>
                </c:pt>
              </c:strCache>
            </c:strRef>
          </c:tx>
          <c:spPr>
            <a:ln w="12700">
              <a:solidFill>
                <a:srgbClr val="000000"/>
              </a:solidFill>
              <a:prstDash val="solid"/>
            </a:ln>
          </c:spPr>
          <c:marker>
            <c:symbol val="none"/>
          </c:marker>
          <c:xVal>
            <c:numRef>
              <c:f>'1996 alfalfa graphing'!$BB$240:$BB$300</c:f>
              <c:numCache>
                <c:formatCode>General</c:formatCode>
                <c:ptCount val="61"/>
                <c:pt idx="0">
                  <c:v>2</c:v>
                </c:pt>
                <c:pt idx="1">
                  <c:v>20.399999999999999</c:v>
                </c:pt>
                <c:pt idx="2">
                  <c:v>37.549999999999997</c:v>
                </c:pt>
                <c:pt idx="3">
                  <c:v>63.95</c:v>
                </c:pt>
                <c:pt idx="4">
                  <c:v>51</c:v>
                </c:pt>
                <c:pt idx="5">
                  <c:v>2</c:v>
                </c:pt>
                <c:pt idx="6">
                  <c:v>28.15</c:v>
                </c:pt>
                <c:pt idx="7">
                  <c:v>64.099999999999994</c:v>
                </c:pt>
                <c:pt idx="8">
                  <c:v>70.150000000000006</c:v>
                </c:pt>
                <c:pt idx="9">
                  <c:v>62</c:v>
                </c:pt>
                <c:pt idx="10">
                  <c:v>2</c:v>
                </c:pt>
                <c:pt idx="11">
                  <c:v>40.450000000000003</c:v>
                </c:pt>
                <c:pt idx="12">
                  <c:v>59.8</c:v>
                </c:pt>
                <c:pt idx="13">
                  <c:v>48.45</c:v>
                </c:pt>
                <c:pt idx="14">
                  <c:v>44.2</c:v>
                </c:pt>
                <c:pt idx="15">
                  <c:v>2</c:v>
                </c:pt>
                <c:pt idx="16">
                  <c:v>37.5</c:v>
                </c:pt>
                <c:pt idx="17">
                  <c:v>51.6</c:v>
                </c:pt>
                <c:pt idx="18">
                  <c:v>53.55</c:v>
                </c:pt>
                <c:pt idx="19">
                  <c:v>55.8</c:v>
                </c:pt>
                <c:pt idx="20">
                  <c:v>2</c:v>
                </c:pt>
                <c:pt idx="21">
                  <c:v>20.95</c:v>
                </c:pt>
                <c:pt idx="22">
                  <c:v>39.450000000000003</c:v>
                </c:pt>
                <c:pt idx="23">
                  <c:v>65</c:v>
                </c:pt>
                <c:pt idx="24">
                  <c:v>54</c:v>
                </c:pt>
                <c:pt idx="25">
                  <c:v>2</c:v>
                </c:pt>
                <c:pt idx="26">
                  <c:v>32.299999999999997</c:v>
                </c:pt>
                <c:pt idx="27">
                  <c:v>64.05</c:v>
                </c:pt>
                <c:pt idx="28">
                  <c:v>72.650000000000006</c:v>
                </c:pt>
                <c:pt idx="29">
                  <c:v>61.8</c:v>
                </c:pt>
                <c:pt idx="30">
                  <c:v>2</c:v>
                </c:pt>
                <c:pt idx="31">
                  <c:v>41.15</c:v>
                </c:pt>
                <c:pt idx="32">
                  <c:v>57.85</c:v>
                </c:pt>
                <c:pt idx="33">
                  <c:v>46.65</c:v>
                </c:pt>
                <c:pt idx="34">
                  <c:v>47.2</c:v>
                </c:pt>
                <c:pt idx="35">
                  <c:v>2</c:v>
                </c:pt>
                <c:pt idx="36">
                  <c:v>39.25</c:v>
                </c:pt>
                <c:pt idx="37">
                  <c:v>48.8</c:v>
                </c:pt>
                <c:pt idx="38">
                  <c:v>53.6</c:v>
                </c:pt>
                <c:pt idx="39">
                  <c:v>56</c:v>
                </c:pt>
                <c:pt idx="40">
                  <c:v>10</c:v>
                </c:pt>
                <c:pt idx="41">
                  <c:v>12</c:v>
                </c:pt>
                <c:pt idx="42">
                  <c:v>14</c:v>
                </c:pt>
                <c:pt idx="43">
                  <c:v>16</c:v>
                </c:pt>
                <c:pt idx="44">
                  <c:v>18</c:v>
                </c:pt>
                <c:pt idx="45">
                  <c:v>20</c:v>
                </c:pt>
                <c:pt idx="46">
                  <c:v>22</c:v>
                </c:pt>
                <c:pt idx="47">
                  <c:v>24</c:v>
                </c:pt>
                <c:pt idx="48">
                  <c:v>26</c:v>
                </c:pt>
                <c:pt idx="49">
                  <c:v>28</c:v>
                </c:pt>
                <c:pt idx="50">
                  <c:v>30</c:v>
                </c:pt>
                <c:pt idx="51">
                  <c:v>32</c:v>
                </c:pt>
                <c:pt idx="52">
                  <c:v>34</c:v>
                </c:pt>
                <c:pt idx="53">
                  <c:v>36</c:v>
                </c:pt>
                <c:pt idx="54">
                  <c:v>38</c:v>
                </c:pt>
                <c:pt idx="55">
                  <c:v>40</c:v>
                </c:pt>
                <c:pt idx="56">
                  <c:v>42</c:v>
                </c:pt>
                <c:pt idx="57">
                  <c:v>44</c:v>
                </c:pt>
                <c:pt idx="58">
                  <c:v>46</c:v>
                </c:pt>
                <c:pt idx="59">
                  <c:v>48</c:v>
                </c:pt>
                <c:pt idx="60">
                  <c:v>50</c:v>
                </c:pt>
              </c:numCache>
            </c:numRef>
          </c:xVal>
          <c:yVal>
            <c:numRef>
              <c:f>'1996 alfalfa graphing'!$BK$240:$BK$301</c:f>
              <c:numCache>
                <c:formatCode>General</c:formatCode>
                <c:ptCount val="62"/>
                <c:pt idx="40">
                  <c:v>2.0461223605089316</c:v>
                </c:pt>
                <c:pt idx="41">
                  <c:v>2.3196046956998635</c:v>
                </c:pt>
                <c:pt idx="42">
                  <c:v>2.550830715440751</c:v>
                </c:pt>
                <c:pt idx="43">
                  <c:v>2.7511278043775347</c:v>
                </c:pt>
                <c:pt idx="44">
                  <c:v>2.92780235786211</c:v>
                </c:pt>
                <c:pt idx="45">
                  <c:v>3.0858431313488492</c:v>
                </c:pt>
                <c:pt idx="46">
                  <c:v>3.2288084010553368</c:v>
                </c:pt>
                <c:pt idx="47">
                  <c:v>3.3593254665397816</c:v>
                </c:pt>
                <c:pt idx="48">
                  <c:v>3.4793895280500862</c:v>
                </c:pt>
                <c:pt idx="49">
                  <c:v>3.5905514862806687</c:v>
                </c:pt>
                <c:pt idx="50">
                  <c:v>3.6940407935110962</c:v>
                </c:pt>
                <c:pt idx="51">
                  <c:v>3.7908485752174528</c:v>
                </c:pt>
                <c:pt idx="52">
                  <c:v>3.8817855079421051</c:v>
                </c:pt>
                <c:pt idx="53">
                  <c:v>3.9675231287020281</c:v>
                </c:pt>
                <c:pt idx="54">
                  <c:v>4.0486239606074417</c:v>
                </c:pt>
                <c:pt idx="55">
                  <c:v>4.1255639021887678</c:v>
                </c:pt>
                <c:pt idx="56">
                  <c:v>4.1987491484429151</c:v>
                </c:pt>
                <c:pt idx="57">
                  <c:v>4.2685291718952545</c:v>
                </c:pt>
                <c:pt idx="58">
                  <c:v>4.3352068157515058</c:v>
                </c:pt>
                <c:pt idx="59">
                  <c:v>4.3990462373796992</c:v>
                </c:pt>
                <c:pt idx="60">
                  <c:v>4.4602792291600819</c:v>
                </c:pt>
                <c:pt idx="61">
                  <c:v>5.165284673028685</c:v>
                </c:pt>
              </c:numCache>
            </c:numRef>
          </c:yVal>
          <c:smooth val="0"/>
          <c:extLst>
            <c:ext xmlns:c16="http://schemas.microsoft.com/office/drawing/2014/chart" uri="{C3380CC4-5D6E-409C-BE32-E72D297353CC}">
              <c16:uniqueId val="{00000008-AB8B-4AA0-97AF-F9C6F2660972}"/>
            </c:ext>
          </c:extLst>
        </c:ser>
        <c:dLbls>
          <c:showLegendKey val="0"/>
          <c:showVal val="0"/>
          <c:showCatName val="0"/>
          <c:showSerName val="0"/>
          <c:showPercent val="0"/>
          <c:showBubbleSize val="0"/>
        </c:dLbls>
        <c:axId val="1427651904"/>
        <c:axId val="1"/>
      </c:scatterChart>
      <c:valAx>
        <c:axId val="1427651904"/>
        <c:scaling>
          <c:orientation val="minMax"/>
        </c:scaling>
        <c:delete val="0"/>
        <c:axPos val="b"/>
        <c:title>
          <c:tx>
            <c:rich>
              <a:bodyPr/>
              <a:lstStyle/>
              <a:p>
                <a:pPr>
                  <a:defRPr sz="1200" b="0" i="0" u="none" strike="noStrike" baseline="0">
                    <a:solidFill>
                      <a:srgbClr val="000000"/>
                    </a:solidFill>
                    <a:latin typeface="Arial"/>
                    <a:ea typeface="Arial"/>
                    <a:cs typeface="Arial"/>
                  </a:defRPr>
                </a:pPr>
                <a:r>
                  <a:rPr lang="en-US"/>
                  <a:t>PLANT HEIGHT (cm)</a:t>
                </a:r>
              </a:p>
            </c:rich>
          </c:tx>
          <c:layout>
            <c:manualLayout>
              <c:xMode val="edge"/>
              <c:yMode val="edge"/>
              <c:x val="0.30555687422202954"/>
              <c:y val="0.7630448956867437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title>
          <c:tx>
            <c:rich>
              <a:bodyPr/>
              <a:lstStyle/>
              <a:p>
                <a:pPr>
                  <a:defRPr sz="1200" b="0" i="0" u="none" strike="noStrike" baseline="0">
                    <a:solidFill>
                      <a:srgbClr val="000000"/>
                    </a:solidFill>
                    <a:latin typeface="Arial"/>
                    <a:ea typeface="Arial"/>
                    <a:cs typeface="Arial"/>
                  </a:defRPr>
                </a:pPr>
                <a:r>
                  <a:rPr lang="en-US"/>
                  <a:t>LAI</a:t>
                </a:r>
              </a:p>
            </c:rich>
          </c:tx>
          <c:layout>
            <c:manualLayout>
              <c:xMode val="edge"/>
              <c:yMode val="edge"/>
              <c:x val="2.0202107386580469E-2"/>
              <c:y val="0.35652240140349278"/>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1427651904"/>
        <c:crosses val="autoZero"/>
        <c:crossBetween val="midCat"/>
      </c:valAx>
      <c:spPr>
        <a:solidFill>
          <a:srgbClr val="FFFFFF"/>
        </a:solidFill>
        <a:ln w="3175">
          <a:solidFill>
            <a:srgbClr val="000000"/>
          </a:solidFill>
          <a:prstDash val="solid"/>
        </a:ln>
      </c:spPr>
    </c:plotArea>
    <c:legend>
      <c:legendPos val="r"/>
      <c:layout>
        <c:manualLayout>
          <c:xMode val="edge"/>
          <c:yMode val="edge"/>
          <c:x val="5.3030531889773733E-2"/>
          <c:y val="0.81956673981168759"/>
          <c:w val="0.92172114951273387"/>
          <c:h val="0.16521769821137469"/>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FIELD &amp; LYSIMETER ALFALFA, ALL CUTS</a:t>
            </a:r>
          </a:p>
        </c:rich>
      </c:tx>
      <c:layout>
        <c:manualLayout>
          <c:xMode val="edge"/>
          <c:yMode val="edge"/>
          <c:x val="0.14534600389863547"/>
          <c:y val="1.166180758017493E-2"/>
        </c:manualLayout>
      </c:layout>
      <c:overlay val="0"/>
    </c:title>
    <c:autoTitleDeleted val="0"/>
    <c:plotArea>
      <c:layout>
        <c:manualLayout>
          <c:layoutTarget val="inner"/>
          <c:xMode val="edge"/>
          <c:yMode val="edge"/>
          <c:x val="0.12279397327242494"/>
          <c:y val="0.1516041999499616"/>
          <c:w val="0.81660415539660591"/>
          <c:h val="0.66958556200883057"/>
        </c:manualLayout>
      </c:layout>
      <c:scatterChart>
        <c:scatterStyle val="lineMarker"/>
        <c:varyColors val="0"/>
        <c:ser>
          <c:idx val="0"/>
          <c:order val="0"/>
          <c:marker>
            <c:symbol val="none"/>
          </c:marker>
          <c:xVal>
            <c:numRef>
              <c:f>'1996 alfalfa graphing'!$AK$5:$AK$271</c:f>
              <c:numCache>
                <c:formatCode>General</c:formatCode>
                <c:ptCount val="267"/>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pt idx="199">
                  <c:v>228</c:v>
                </c:pt>
                <c:pt idx="200">
                  <c:v>229</c:v>
                </c:pt>
                <c:pt idx="201">
                  <c:v>230</c:v>
                </c:pt>
                <c:pt idx="202">
                  <c:v>231</c:v>
                </c:pt>
                <c:pt idx="203">
                  <c:v>232</c:v>
                </c:pt>
                <c:pt idx="204">
                  <c:v>233</c:v>
                </c:pt>
                <c:pt idx="205">
                  <c:v>234</c:v>
                </c:pt>
                <c:pt idx="206">
                  <c:v>235</c:v>
                </c:pt>
                <c:pt idx="207">
                  <c:v>236</c:v>
                </c:pt>
                <c:pt idx="208">
                  <c:v>237</c:v>
                </c:pt>
                <c:pt idx="209">
                  <c:v>238</c:v>
                </c:pt>
                <c:pt idx="210">
                  <c:v>239</c:v>
                </c:pt>
                <c:pt idx="211">
                  <c:v>240</c:v>
                </c:pt>
                <c:pt idx="212">
                  <c:v>241</c:v>
                </c:pt>
                <c:pt idx="213">
                  <c:v>242</c:v>
                </c:pt>
                <c:pt idx="214">
                  <c:v>243</c:v>
                </c:pt>
                <c:pt idx="215">
                  <c:v>244</c:v>
                </c:pt>
                <c:pt idx="216">
                  <c:v>245</c:v>
                </c:pt>
                <c:pt idx="217">
                  <c:v>246</c:v>
                </c:pt>
                <c:pt idx="218">
                  <c:v>247</c:v>
                </c:pt>
                <c:pt idx="219">
                  <c:v>248</c:v>
                </c:pt>
                <c:pt idx="220">
                  <c:v>249</c:v>
                </c:pt>
                <c:pt idx="221">
                  <c:v>250</c:v>
                </c:pt>
                <c:pt idx="222">
                  <c:v>251</c:v>
                </c:pt>
                <c:pt idx="223">
                  <c:v>252</c:v>
                </c:pt>
                <c:pt idx="224">
                  <c:v>253</c:v>
                </c:pt>
                <c:pt idx="225">
                  <c:v>254</c:v>
                </c:pt>
                <c:pt idx="226">
                  <c:v>255</c:v>
                </c:pt>
                <c:pt idx="227">
                  <c:v>256</c:v>
                </c:pt>
                <c:pt idx="228">
                  <c:v>257</c:v>
                </c:pt>
                <c:pt idx="229">
                  <c:v>258</c:v>
                </c:pt>
                <c:pt idx="230">
                  <c:v>259</c:v>
                </c:pt>
                <c:pt idx="231">
                  <c:v>260</c:v>
                </c:pt>
                <c:pt idx="232">
                  <c:v>261</c:v>
                </c:pt>
                <c:pt idx="233">
                  <c:v>262</c:v>
                </c:pt>
                <c:pt idx="234">
                  <c:v>263</c:v>
                </c:pt>
                <c:pt idx="235">
                  <c:v>264</c:v>
                </c:pt>
                <c:pt idx="236">
                  <c:v>265</c:v>
                </c:pt>
                <c:pt idx="237">
                  <c:v>266</c:v>
                </c:pt>
                <c:pt idx="238">
                  <c:v>267</c:v>
                </c:pt>
                <c:pt idx="239">
                  <c:v>268</c:v>
                </c:pt>
                <c:pt idx="240">
                  <c:v>269</c:v>
                </c:pt>
                <c:pt idx="241">
                  <c:v>270</c:v>
                </c:pt>
                <c:pt idx="242">
                  <c:v>271</c:v>
                </c:pt>
                <c:pt idx="243">
                  <c:v>272</c:v>
                </c:pt>
                <c:pt idx="244">
                  <c:v>273</c:v>
                </c:pt>
                <c:pt idx="245">
                  <c:v>274</c:v>
                </c:pt>
                <c:pt idx="246">
                  <c:v>275</c:v>
                </c:pt>
                <c:pt idx="247">
                  <c:v>276</c:v>
                </c:pt>
                <c:pt idx="248">
                  <c:v>277</c:v>
                </c:pt>
                <c:pt idx="249">
                  <c:v>278</c:v>
                </c:pt>
                <c:pt idx="250">
                  <c:v>279</c:v>
                </c:pt>
                <c:pt idx="251">
                  <c:v>280</c:v>
                </c:pt>
                <c:pt idx="252">
                  <c:v>281</c:v>
                </c:pt>
                <c:pt idx="253">
                  <c:v>282</c:v>
                </c:pt>
                <c:pt idx="254">
                  <c:v>283</c:v>
                </c:pt>
                <c:pt idx="255">
                  <c:v>284</c:v>
                </c:pt>
                <c:pt idx="256">
                  <c:v>285</c:v>
                </c:pt>
                <c:pt idx="257">
                  <c:v>286</c:v>
                </c:pt>
                <c:pt idx="258">
                  <c:v>287</c:v>
                </c:pt>
                <c:pt idx="259">
                  <c:v>228</c:v>
                </c:pt>
                <c:pt idx="260">
                  <c:v>247</c:v>
                </c:pt>
                <c:pt idx="261">
                  <c:v>262</c:v>
                </c:pt>
                <c:pt idx="262">
                  <c:v>281</c:v>
                </c:pt>
                <c:pt idx="263">
                  <c:v>228</c:v>
                </c:pt>
                <c:pt idx="264">
                  <c:v>247</c:v>
                </c:pt>
                <c:pt idx="265">
                  <c:v>262</c:v>
                </c:pt>
                <c:pt idx="266">
                  <c:v>281</c:v>
                </c:pt>
              </c:numCache>
            </c:numRef>
          </c:xVal>
          <c:yVal>
            <c:numRef>
              <c:f>'1996 alfalfa graphing'!$AL$5:$AL$271</c:f>
              <c:numCache>
                <c:formatCode>General</c:formatCode>
                <c:ptCount val="267"/>
                <c:pt idx="0">
                  <c:v>0</c:v>
                </c:pt>
                <c:pt idx="1">
                  <c:v>1.285823E-2</c:v>
                </c:pt>
                <c:pt idx="2">
                  <c:v>2.4322839999999998E-2</c:v>
                </c:pt>
                <c:pt idx="3">
                  <c:v>3.4598980000000001E-2</c:v>
                </c:pt>
                <c:pt idx="4">
                  <c:v>4.3892960000000002E-2</c:v>
                </c:pt>
                <c:pt idx="5">
                  <c:v>5.2411079999999999E-2</c:v>
                </c:pt>
                <c:pt idx="6">
                  <c:v>6.0359650000000001E-2</c:v>
                </c:pt>
                <c:pt idx="7">
                  <c:v>6.7944980000000002E-2</c:v>
                </c:pt>
                <c:pt idx="8">
                  <c:v>7.5373369999999995E-2</c:v>
                </c:pt>
                <c:pt idx="9">
                  <c:v>8.2851140000000004E-2</c:v>
                </c:pt>
                <c:pt idx="10">
                  <c:v>9.0584590000000006E-2</c:v>
                </c:pt>
                <c:pt idx="11">
                  <c:v>9.8780019999999996E-2</c:v>
                </c:pt>
                <c:pt idx="12">
                  <c:v>0.1076438</c:v>
                </c:pt>
                <c:pt idx="13">
                  <c:v>0.1173821</c:v>
                </c:pt>
                <c:pt idx="14">
                  <c:v>0.12820129999999999</c:v>
                </c:pt>
                <c:pt idx="15">
                  <c:v>0.14030780000000001</c:v>
                </c:pt>
                <c:pt idx="16">
                  <c:v>0.15390780000000001</c:v>
                </c:pt>
                <c:pt idx="17">
                  <c:v>0.16920760000000001</c:v>
                </c:pt>
                <c:pt idx="18">
                  <c:v>0.18641350000000001</c:v>
                </c:pt>
                <c:pt idx="19">
                  <c:v>0.2057319</c:v>
                </c:pt>
                <c:pt idx="20">
                  <c:v>0.22736899999999999</c:v>
                </c:pt>
                <c:pt idx="21">
                  <c:v>0.25153120000000001</c:v>
                </c:pt>
                <c:pt idx="22">
                  <c:v>0.27842479999999997</c:v>
                </c:pt>
                <c:pt idx="23">
                  <c:v>0.30825609999999998</c:v>
                </c:pt>
                <c:pt idx="24">
                  <c:v>0.34123130000000002</c:v>
                </c:pt>
                <c:pt idx="25">
                  <c:v>0.37755680000000003</c:v>
                </c:pt>
                <c:pt idx="26">
                  <c:v>0.4174389</c:v>
                </c:pt>
                <c:pt idx="27">
                  <c:v>0.46108389999999999</c:v>
                </c:pt>
                <c:pt idx="28">
                  <c:v>0.50869810000000004</c:v>
                </c:pt>
                <c:pt idx="29">
                  <c:v>0.56048790000000004</c:v>
                </c:pt>
                <c:pt idx="30">
                  <c:v>0.61665939999999997</c:v>
                </c:pt>
                <c:pt idx="31">
                  <c:v>0.67741910000000005</c:v>
                </c:pt>
                <c:pt idx="32">
                  <c:v>0.74297329999999995</c:v>
                </c:pt>
                <c:pt idx="33">
                  <c:v>0.81352809999999998</c:v>
                </c:pt>
                <c:pt idx="34">
                  <c:v>0.88929000000000002</c:v>
                </c:pt>
                <c:pt idx="35">
                  <c:v>0.97046540000000003</c:v>
                </c:pt>
                <c:pt idx="36">
                  <c:v>1.0572600000000001</c:v>
                </c:pt>
                <c:pt idx="37">
                  <c:v>1.1498809999999999</c:v>
                </c:pt>
                <c:pt idx="38">
                  <c:v>1.248534</c:v>
                </c:pt>
                <c:pt idx="39">
                  <c:v>1.353426</c:v>
                </c:pt>
                <c:pt idx="40">
                  <c:v>1.464763</c:v>
                </c:pt>
                <c:pt idx="41">
                  <c:v>1.582751</c:v>
                </c:pt>
                <c:pt idx="42">
                  <c:v>1.7075959999999999</c:v>
                </c:pt>
                <c:pt idx="43">
                  <c:v>1.8395049999999999</c:v>
                </c:pt>
                <c:pt idx="44">
                  <c:v>1.978685</c:v>
                </c:pt>
                <c:pt idx="45">
                  <c:v>2.1253410000000001</c:v>
                </c:pt>
                <c:pt idx="46">
                  <c:v>2.2796789999999998</c:v>
                </c:pt>
                <c:pt idx="47">
                  <c:v>2.441907</c:v>
                </c:pt>
                <c:pt idx="48">
                  <c:v>2.6122299999999998</c:v>
                </c:pt>
                <c:pt idx="49">
                  <c:v>2.7908539999999999</c:v>
                </c:pt>
                <c:pt idx="50">
                  <c:v>2.9779870000000002</c:v>
                </c:pt>
                <c:pt idx="51">
                  <c:v>3.173397</c:v>
                </c:pt>
                <c:pt idx="52">
                  <c:v>3.375035</c:v>
                </c:pt>
                <c:pt idx="53">
                  <c:v>3.580435</c:v>
                </c:pt>
                <c:pt idx="54">
                  <c:v>3.787121</c:v>
                </c:pt>
                <c:pt idx="55">
                  <c:v>3.9926179999999998</c:v>
                </c:pt>
                <c:pt idx="56">
                  <c:v>4.1944480000000004</c:v>
                </c:pt>
                <c:pt idx="57">
                  <c:v>4.3905320000000003</c:v>
                </c:pt>
                <c:pt idx="58">
                  <c:v>4.5803859999999998</c:v>
                </c:pt>
                <c:pt idx="59">
                  <c:v>4.7639189999999996</c:v>
                </c:pt>
                <c:pt idx="60">
                  <c:v>4.9410429999999996</c:v>
                </c:pt>
                <c:pt idx="61">
                  <c:v>5.1116669999999997</c:v>
                </c:pt>
                <c:pt idx="62">
                  <c:v>5.275703</c:v>
                </c:pt>
                <c:pt idx="63">
                  <c:v>5.4330610000000004</c:v>
                </c:pt>
                <c:pt idx="64">
                  <c:v>5.583653</c:v>
                </c:pt>
                <c:pt idx="65">
                  <c:v>5.7273889999999996</c:v>
                </c:pt>
                <c:pt idx="66">
                  <c:v>5.8641800000000002</c:v>
                </c:pt>
                <c:pt idx="67">
                  <c:v>5.9939359999999997</c:v>
                </c:pt>
                <c:pt idx="68">
                  <c:v>6.1165700000000003</c:v>
                </c:pt>
                <c:pt idx="69">
                  <c:v>6.2319899999999997</c:v>
                </c:pt>
                <c:pt idx="70">
                  <c:v>6.3401079999999999</c:v>
                </c:pt>
                <c:pt idx="71">
                  <c:v>6.440836</c:v>
                </c:pt>
                <c:pt idx="72">
                  <c:v>6.534084</c:v>
                </c:pt>
                <c:pt idx="73">
                  <c:v>6.6197619999999997</c:v>
                </c:pt>
                <c:pt idx="74">
                  <c:v>6.6977820000000001</c:v>
                </c:pt>
                <c:pt idx="75">
                  <c:v>6.7680530000000001</c:v>
                </c:pt>
                <c:pt idx="76">
                  <c:v>6.8304879999999999</c:v>
                </c:pt>
                <c:pt idx="77">
                  <c:v>6.8849960000000001</c:v>
                </c:pt>
                <c:pt idx="78">
                  <c:v>6.931489</c:v>
                </c:pt>
                <c:pt idx="79">
                  <c:v>6.9698779999999996</c:v>
                </c:pt>
                <c:pt idx="80">
                  <c:v>7.0000730000000004</c:v>
                </c:pt>
                <c:pt idx="81">
                  <c:v>7.0219849999999999</c:v>
                </c:pt>
                <c:pt idx="82">
                  <c:v>7.0355249999999998</c:v>
                </c:pt>
                <c:pt idx="83">
                  <c:v>7.0406040000000001</c:v>
                </c:pt>
                <c:pt idx="84">
                  <c:v>7.0371319999999997</c:v>
                </c:pt>
                <c:pt idx="85">
                  <c:v>7.0250199999999996</c:v>
                </c:pt>
                <c:pt idx="86">
                  <c:v>7.0041789999999997</c:v>
                </c:pt>
                <c:pt idx="87">
                  <c:v>6.9745210000000002</c:v>
                </c:pt>
                <c:pt idx="88">
                  <c:v>6.9359549999999999</c:v>
                </c:pt>
                <c:pt idx="89">
                  <c:v>6.8883929999999998</c:v>
                </c:pt>
              </c:numCache>
            </c:numRef>
          </c:yVal>
          <c:smooth val="0"/>
          <c:extLst>
            <c:ext xmlns:c16="http://schemas.microsoft.com/office/drawing/2014/chart" uri="{C3380CC4-5D6E-409C-BE32-E72D297353CC}">
              <c16:uniqueId val="{00000000-352A-45CE-9764-4115E5DE2888}"/>
            </c:ext>
          </c:extLst>
        </c:ser>
        <c:ser>
          <c:idx val="1"/>
          <c:order val="1"/>
          <c:spPr>
            <a:ln w="19050">
              <a:noFill/>
            </a:ln>
          </c:spPr>
          <c:xVal>
            <c:numRef>
              <c:f>'1996 alfalfa graphing'!$AK$5:$AK$271</c:f>
              <c:numCache>
                <c:formatCode>General</c:formatCode>
                <c:ptCount val="267"/>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pt idx="199">
                  <c:v>228</c:v>
                </c:pt>
                <c:pt idx="200">
                  <c:v>229</c:v>
                </c:pt>
                <c:pt idx="201">
                  <c:v>230</c:v>
                </c:pt>
                <c:pt idx="202">
                  <c:v>231</c:v>
                </c:pt>
                <c:pt idx="203">
                  <c:v>232</c:v>
                </c:pt>
                <c:pt idx="204">
                  <c:v>233</c:v>
                </c:pt>
                <c:pt idx="205">
                  <c:v>234</c:v>
                </c:pt>
                <c:pt idx="206">
                  <c:v>235</c:v>
                </c:pt>
                <c:pt idx="207">
                  <c:v>236</c:v>
                </c:pt>
                <c:pt idx="208">
                  <c:v>237</c:v>
                </c:pt>
                <c:pt idx="209">
                  <c:v>238</c:v>
                </c:pt>
                <c:pt idx="210">
                  <c:v>239</c:v>
                </c:pt>
                <c:pt idx="211">
                  <c:v>240</c:v>
                </c:pt>
                <c:pt idx="212">
                  <c:v>241</c:v>
                </c:pt>
                <c:pt idx="213">
                  <c:v>242</c:v>
                </c:pt>
                <c:pt idx="214">
                  <c:v>243</c:v>
                </c:pt>
                <c:pt idx="215">
                  <c:v>244</c:v>
                </c:pt>
                <c:pt idx="216">
                  <c:v>245</c:v>
                </c:pt>
                <c:pt idx="217">
                  <c:v>246</c:v>
                </c:pt>
                <c:pt idx="218">
                  <c:v>247</c:v>
                </c:pt>
                <c:pt idx="219">
                  <c:v>248</c:v>
                </c:pt>
                <c:pt idx="220">
                  <c:v>249</c:v>
                </c:pt>
                <c:pt idx="221">
                  <c:v>250</c:v>
                </c:pt>
                <c:pt idx="222">
                  <c:v>251</c:v>
                </c:pt>
                <c:pt idx="223">
                  <c:v>252</c:v>
                </c:pt>
                <c:pt idx="224">
                  <c:v>253</c:v>
                </c:pt>
                <c:pt idx="225">
                  <c:v>254</c:v>
                </c:pt>
                <c:pt idx="226">
                  <c:v>255</c:v>
                </c:pt>
                <c:pt idx="227">
                  <c:v>256</c:v>
                </c:pt>
                <c:pt idx="228">
                  <c:v>257</c:v>
                </c:pt>
                <c:pt idx="229">
                  <c:v>258</c:v>
                </c:pt>
                <c:pt idx="230">
                  <c:v>259</c:v>
                </c:pt>
                <c:pt idx="231">
                  <c:v>260</c:v>
                </c:pt>
                <c:pt idx="232">
                  <c:v>261</c:v>
                </c:pt>
                <c:pt idx="233">
                  <c:v>262</c:v>
                </c:pt>
                <c:pt idx="234">
                  <c:v>263</c:v>
                </c:pt>
                <c:pt idx="235">
                  <c:v>264</c:v>
                </c:pt>
                <c:pt idx="236">
                  <c:v>265</c:v>
                </c:pt>
                <c:pt idx="237">
                  <c:v>266</c:v>
                </c:pt>
                <c:pt idx="238">
                  <c:v>267</c:v>
                </c:pt>
                <c:pt idx="239">
                  <c:v>268</c:v>
                </c:pt>
                <c:pt idx="240">
                  <c:v>269</c:v>
                </c:pt>
                <c:pt idx="241">
                  <c:v>270</c:v>
                </c:pt>
                <c:pt idx="242">
                  <c:v>271</c:v>
                </c:pt>
                <c:pt idx="243">
                  <c:v>272</c:v>
                </c:pt>
                <c:pt idx="244">
                  <c:v>273</c:v>
                </c:pt>
                <c:pt idx="245">
                  <c:v>274</c:v>
                </c:pt>
                <c:pt idx="246">
                  <c:v>275</c:v>
                </c:pt>
                <c:pt idx="247">
                  <c:v>276</c:v>
                </c:pt>
                <c:pt idx="248">
                  <c:v>277</c:v>
                </c:pt>
                <c:pt idx="249">
                  <c:v>278</c:v>
                </c:pt>
                <c:pt idx="250">
                  <c:v>279</c:v>
                </c:pt>
                <c:pt idx="251">
                  <c:v>280</c:v>
                </c:pt>
                <c:pt idx="252">
                  <c:v>281</c:v>
                </c:pt>
                <c:pt idx="253">
                  <c:v>282</c:v>
                </c:pt>
                <c:pt idx="254">
                  <c:v>283</c:v>
                </c:pt>
                <c:pt idx="255">
                  <c:v>284</c:v>
                </c:pt>
                <c:pt idx="256">
                  <c:v>285</c:v>
                </c:pt>
                <c:pt idx="257">
                  <c:v>286</c:v>
                </c:pt>
                <c:pt idx="258">
                  <c:v>287</c:v>
                </c:pt>
                <c:pt idx="259">
                  <c:v>228</c:v>
                </c:pt>
                <c:pt idx="260">
                  <c:v>247</c:v>
                </c:pt>
                <c:pt idx="261">
                  <c:v>262</c:v>
                </c:pt>
                <c:pt idx="262">
                  <c:v>281</c:v>
                </c:pt>
                <c:pt idx="263">
                  <c:v>228</c:v>
                </c:pt>
                <c:pt idx="264">
                  <c:v>247</c:v>
                </c:pt>
                <c:pt idx="265">
                  <c:v>262</c:v>
                </c:pt>
                <c:pt idx="266">
                  <c:v>281</c:v>
                </c:pt>
              </c:numCache>
            </c:numRef>
          </c:xVal>
          <c:yVal>
            <c:numRef>
              <c:f>'1996 alfalfa graphing'!$AM$5:$AM$271</c:f>
              <c:numCache>
                <c:formatCode>General</c:formatCode>
                <c:ptCount val="267"/>
                <c:pt idx="90">
                  <c:v>0</c:v>
                </c:pt>
                <c:pt idx="91">
                  <c:v>3.9434997869483848</c:v>
                </c:pt>
                <c:pt idx="92">
                  <c:v>6.4031237112534996</c:v>
                </c:pt>
                <c:pt idx="93">
                  <c:v>6.436128420051114</c:v>
                </c:pt>
                <c:pt idx="94">
                  <c:v>0</c:v>
                </c:pt>
                <c:pt idx="95">
                  <c:v>4.0417157153963652</c:v>
                </c:pt>
                <c:pt idx="96">
                  <c:v>6.0608181977655224</c:v>
                </c:pt>
                <c:pt idx="97">
                  <c:v>7.4357377137459935</c:v>
                </c:pt>
              </c:numCache>
            </c:numRef>
          </c:yVal>
          <c:smooth val="0"/>
          <c:extLst>
            <c:ext xmlns:c16="http://schemas.microsoft.com/office/drawing/2014/chart" uri="{C3380CC4-5D6E-409C-BE32-E72D297353CC}">
              <c16:uniqueId val="{00000001-352A-45CE-9764-4115E5DE2888}"/>
            </c:ext>
          </c:extLst>
        </c:ser>
        <c:ser>
          <c:idx val="2"/>
          <c:order val="2"/>
          <c:marker>
            <c:symbol val="none"/>
          </c:marker>
          <c:xVal>
            <c:numRef>
              <c:f>'1996 alfalfa graphing'!$AK$5:$AK$271</c:f>
              <c:numCache>
                <c:formatCode>General</c:formatCode>
                <c:ptCount val="267"/>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pt idx="199">
                  <c:v>228</c:v>
                </c:pt>
                <c:pt idx="200">
                  <c:v>229</c:v>
                </c:pt>
                <c:pt idx="201">
                  <c:v>230</c:v>
                </c:pt>
                <c:pt idx="202">
                  <c:v>231</c:v>
                </c:pt>
                <c:pt idx="203">
                  <c:v>232</c:v>
                </c:pt>
                <c:pt idx="204">
                  <c:v>233</c:v>
                </c:pt>
                <c:pt idx="205">
                  <c:v>234</c:v>
                </c:pt>
                <c:pt idx="206">
                  <c:v>235</c:v>
                </c:pt>
                <c:pt idx="207">
                  <c:v>236</c:v>
                </c:pt>
                <c:pt idx="208">
                  <c:v>237</c:v>
                </c:pt>
                <c:pt idx="209">
                  <c:v>238</c:v>
                </c:pt>
                <c:pt idx="210">
                  <c:v>239</c:v>
                </c:pt>
                <c:pt idx="211">
                  <c:v>240</c:v>
                </c:pt>
                <c:pt idx="212">
                  <c:v>241</c:v>
                </c:pt>
                <c:pt idx="213">
                  <c:v>242</c:v>
                </c:pt>
                <c:pt idx="214">
                  <c:v>243</c:v>
                </c:pt>
                <c:pt idx="215">
                  <c:v>244</c:v>
                </c:pt>
                <c:pt idx="216">
                  <c:v>245</c:v>
                </c:pt>
                <c:pt idx="217">
                  <c:v>246</c:v>
                </c:pt>
                <c:pt idx="218">
                  <c:v>247</c:v>
                </c:pt>
                <c:pt idx="219">
                  <c:v>248</c:v>
                </c:pt>
                <c:pt idx="220">
                  <c:v>249</c:v>
                </c:pt>
                <c:pt idx="221">
                  <c:v>250</c:v>
                </c:pt>
                <c:pt idx="222">
                  <c:v>251</c:v>
                </c:pt>
                <c:pt idx="223">
                  <c:v>252</c:v>
                </c:pt>
                <c:pt idx="224">
                  <c:v>253</c:v>
                </c:pt>
                <c:pt idx="225">
                  <c:v>254</c:v>
                </c:pt>
                <c:pt idx="226">
                  <c:v>255</c:v>
                </c:pt>
                <c:pt idx="227">
                  <c:v>256</c:v>
                </c:pt>
                <c:pt idx="228">
                  <c:v>257</c:v>
                </c:pt>
                <c:pt idx="229">
                  <c:v>258</c:v>
                </c:pt>
                <c:pt idx="230">
                  <c:v>259</c:v>
                </c:pt>
                <c:pt idx="231">
                  <c:v>260</c:v>
                </c:pt>
                <c:pt idx="232">
                  <c:v>261</c:v>
                </c:pt>
                <c:pt idx="233">
                  <c:v>262</c:v>
                </c:pt>
                <c:pt idx="234">
                  <c:v>263</c:v>
                </c:pt>
                <c:pt idx="235">
                  <c:v>264</c:v>
                </c:pt>
                <c:pt idx="236">
                  <c:v>265</c:v>
                </c:pt>
                <c:pt idx="237">
                  <c:v>266</c:v>
                </c:pt>
                <c:pt idx="238">
                  <c:v>267</c:v>
                </c:pt>
                <c:pt idx="239">
                  <c:v>268</c:v>
                </c:pt>
                <c:pt idx="240">
                  <c:v>269</c:v>
                </c:pt>
                <c:pt idx="241">
                  <c:v>270</c:v>
                </c:pt>
                <c:pt idx="242">
                  <c:v>271</c:v>
                </c:pt>
                <c:pt idx="243">
                  <c:v>272</c:v>
                </c:pt>
                <c:pt idx="244">
                  <c:v>273</c:v>
                </c:pt>
                <c:pt idx="245">
                  <c:v>274</c:v>
                </c:pt>
                <c:pt idx="246">
                  <c:v>275</c:v>
                </c:pt>
                <c:pt idx="247">
                  <c:v>276</c:v>
                </c:pt>
                <c:pt idx="248">
                  <c:v>277</c:v>
                </c:pt>
                <c:pt idx="249">
                  <c:v>278</c:v>
                </c:pt>
                <c:pt idx="250">
                  <c:v>279</c:v>
                </c:pt>
                <c:pt idx="251">
                  <c:v>280</c:v>
                </c:pt>
                <c:pt idx="252">
                  <c:v>281</c:v>
                </c:pt>
                <c:pt idx="253">
                  <c:v>282</c:v>
                </c:pt>
                <c:pt idx="254">
                  <c:v>283</c:v>
                </c:pt>
                <c:pt idx="255">
                  <c:v>284</c:v>
                </c:pt>
                <c:pt idx="256">
                  <c:v>285</c:v>
                </c:pt>
                <c:pt idx="257">
                  <c:v>286</c:v>
                </c:pt>
                <c:pt idx="258">
                  <c:v>287</c:v>
                </c:pt>
                <c:pt idx="259">
                  <c:v>228</c:v>
                </c:pt>
                <c:pt idx="260">
                  <c:v>247</c:v>
                </c:pt>
                <c:pt idx="261">
                  <c:v>262</c:v>
                </c:pt>
                <c:pt idx="262">
                  <c:v>281</c:v>
                </c:pt>
                <c:pt idx="263">
                  <c:v>228</c:v>
                </c:pt>
                <c:pt idx="264">
                  <c:v>247</c:v>
                </c:pt>
                <c:pt idx="265">
                  <c:v>262</c:v>
                </c:pt>
                <c:pt idx="266">
                  <c:v>281</c:v>
                </c:pt>
              </c:numCache>
            </c:numRef>
          </c:xVal>
          <c:yVal>
            <c:numRef>
              <c:f>'1996 alfalfa graphing'!$AN$5:$AN$271</c:f>
              <c:numCache>
                <c:formatCode>General</c:formatCode>
                <c:ptCount val="267"/>
                <c:pt idx="98">
                  <c:v>0</c:v>
                </c:pt>
                <c:pt idx="99">
                  <c:v>0.1688103</c:v>
                </c:pt>
                <c:pt idx="100">
                  <c:v>0.35187889999999999</c:v>
                </c:pt>
                <c:pt idx="101">
                  <c:v>0.54697629999999997</c:v>
                </c:pt>
                <c:pt idx="102">
                  <c:v>0.75187079999999995</c:v>
                </c:pt>
                <c:pt idx="103">
                  <c:v>0.96433069999999999</c:v>
                </c:pt>
                <c:pt idx="104">
                  <c:v>1.1821250000000001</c:v>
                </c:pt>
                <c:pt idx="105">
                  <c:v>1.4030210000000001</c:v>
                </c:pt>
                <c:pt idx="106">
                  <c:v>1.6247879999999999</c:v>
                </c:pt>
                <c:pt idx="107">
                  <c:v>1.8451930000000001</c:v>
                </c:pt>
                <c:pt idx="108">
                  <c:v>2.0620059999999998</c:v>
                </c:pt>
                <c:pt idx="109">
                  <c:v>2.2729949999999999</c:v>
                </c:pt>
                <c:pt idx="110">
                  <c:v>2.4759289999999998</c:v>
                </c:pt>
                <c:pt idx="111">
                  <c:v>2.668574</c:v>
                </c:pt>
                <c:pt idx="112">
                  <c:v>2.8487010000000001</c:v>
                </c:pt>
                <c:pt idx="113">
                  <c:v>3.0140769999999999</c:v>
                </c:pt>
                <c:pt idx="114">
                  <c:v>3.16303</c:v>
                </c:pt>
                <c:pt idx="115">
                  <c:v>3.2961239999999998</c:v>
                </c:pt>
                <c:pt idx="116">
                  <c:v>3.4144830000000002</c:v>
                </c:pt>
                <c:pt idx="117">
                  <c:v>3.5192299999999999</c:v>
                </c:pt>
                <c:pt idx="118">
                  <c:v>3.6114890000000002</c:v>
                </c:pt>
                <c:pt idx="119">
                  <c:v>3.692383</c:v>
                </c:pt>
                <c:pt idx="120">
                  <c:v>3.763036</c:v>
                </c:pt>
                <c:pt idx="121">
                  <c:v>3.8245719999999999</c:v>
                </c:pt>
                <c:pt idx="122">
                  <c:v>3.8781140000000001</c:v>
                </c:pt>
                <c:pt idx="123">
                  <c:v>3.9247860000000001</c:v>
                </c:pt>
                <c:pt idx="124">
                  <c:v>3.9657100000000001</c:v>
                </c:pt>
                <c:pt idx="125">
                  <c:v>4.0020119999999997</c:v>
                </c:pt>
                <c:pt idx="126">
                  <c:v>4.0348129999999998</c:v>
                </c:pt>
                <c:pt idx="127">
                  <c:v>4.065239</c:v>
                </c:pt>
                <c:pt idx="128">
                  <c:v>4.0944120000000002</c:v>
                </c:pt>
                <c:pt idx="129">
                  <c:v>4.1377644313027266</c:v>
                </c:pt>
                <c:pt idx="130">
                  <c:v>4.1811168626054531</c:v>
                </c:pt>
                <c:pt idx="131">
                  <c:v>4.2244692939081796</c:v>
                </c:pt>
                <c:pt idx="132">
                  <c:v>4.2678217252109061</c:v>
                </c:pt>
                <c:pt idx="133">
                  <c:v>4.3111741565136326</c:v>
                </c:pt>
                <c:pt idx="134">
                  <c:v>4.354526587816359</c:v>
                </c:pt>
                <c:pt idx="135">
                  <c:v>4.3978790191190855</c:v>
                </c:pt>
                <c:pt idx="136">
                  <c:v>4.441231450421812</c:v>
                </c:pt>
                <c:pt idx="137">
                  <c:v>4.4845838817245385</c:v>
                </c:pt>
                <c:pt idx="138">
                  <c:v>4.527936313027265</c:v>
                </c:pt>
                <c:pt idx="139">
                  <c:v>4.5712887443299897</c:v>
                </c:pt>
                <c:pt idx="140">
                  <c:v>4.5712887443299897</c:v>
                </c:pt>
                <c:pt idx="141">
                  <c:v>4.5712887443299897</c:v>
                </c:pt>
                <c:pt idx="142">
                  <c:v>4.5712887443299897</c:v>
                </c:pt>
                <c:pt idx="143">
                  <c:v>4.5712887443299897</c:v>
                </c:pt>
                <c:pt idx="144">
                  <c:v>4.5712887443299897</c:v>
                </c:pt>
                <c:pt idx="145">
                  <c:v>4.5712887443299897</c:v>
                </c:pt>
              </c:numCache>
            </c:numRef>
          </c:yVal>
          <c:smooth val="0"/>
          <c:extLst>
            <c:ext xmlns:c16="http://schemas.microsoft.com/office/drawing/2014/chart" uri="{C3380CC4-5D6E-409C-BE32-E72D297353CC}">
              <c16:uniqueId val="{00000002-352A-45CE-9764-4115E5DE2888}"/>
            </c:ext>
          </c:extLst>
        </c:ser>
        <c:ser>
          <c:idx val="3"/>
          <c:order val="3"/>
          <c:spPr>
            <a:ln w="19050">
              <a:noFill/>
            </a:ln>
          </c:spPr>
          <c:marker>
            <c:spPr>
              <a:ln w="12700">
                <a:solidFill>
                  <a:schemeClr val="tx1"/>
                </a:solidFill>
              </a:ln>
            </c:spPr>
          </c:marker>
          <c:xVal>
            <c:numRef>
              <c:f>'1996 alfalfa graphing'!$AK$5:$AK$271</c:f>
              <c:numCache>
                <c:formatCode>General</c:formatCode>
                <c:ptCount val="267"/>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pt idx="199">
                  <c:v>228</c:v>
                </c:pt>
                <c:pt idx="200">
                  <c:v>229</c:v>
                </c:pt>
                <c:pt idx="201">
                  <c:v>230</c:v>
                </c:pt>
                <c:pt idx="202">
                  <c:v>231</c:v>
                </c:pt>
                <c:pt idx="203">
                  <c:v>232</c:v>
                </c:pt>
                <c:pt idx="204">
                  <c:v>233</c:v>
                </c:pt>
                <c:pt idx="205">
                  <c:v>234</c:v>
                </c:pt>
                <c:pt idx="206">
                  <c:v>235</c:v>
                </c:pt>
                <c:pt idx="207">
                  <c:v>236</c:v>
                </c:pt>
                <c:pt idx="208">
                  <c:v>237</c:v>
                </c:pt>
                <c:pt idx="209">
                  <c:v>238</c:v>
                </c:pt>
                <c:pt idx="210">
                  <c:v>239</c:v>
                </c:pt>
                <c:pt idx="211">
                  <c:v>240</c:v>
                </c:pt>
                <c:pt idx="212">
                  <c:v>241</c:v>
                </c:pt>
                <c:pt idx="213">
                  <c:v>242</c:v>
                </c:pt>
                <c:pt idx="214">
                  <c:v>243</c:v>
                </c:pt>
                <c:pt idx="215">
                  <c:v>244</c:v>
                </c:pt>
                <c:pt idx="216">
                  <c:v>245</c:v>
                </c:pt>
                <c:pt idx="217">
                  <c:v>246</c:v>
                </c:pt>
                <c:pt idx="218">
                  <c:v>247</c:v>
                </c:pt>
                <c:pt idx="219">
                  <c:v>248</c:v>
                </c:pt>
                <c:pt idx="220">
                  <c:v>249</c:v>
                </c:pt>
                <c:pt idx="221">
                  <c:v>250</c:v>
                </c:pt>
                <c:pt idx="222">
                  <c:v>251</c:v>
                </c:pt>
                <c:pt idx="223">
                  <c:v>252</c:v>
                </c:pt>
                <c:pt idx="224">
                  <c:v>253</c:v>
                </c:pt>
                <c:pt idx="225">
                  <c:v>254</c:v>
                </c:pt>
                <c:pt idx="226">
                  <c:v>255</c:v>
                </c:pt>
                <c:pt idx="227">
                  <c:v>256</c:v>
                </c:pt>
                <c:pt idx="228">
                  <c:v>257</c:v>
                </c:pt>
                <c:pt idx="229">
                  <c:v>258</c:v>
                </c:pt>
                <c:pt idx="230">
                  <c:v>259</c:v>
                </c:pt>
                <c:pt idx="231">
                  <c:v>260</c:v>
                </c:pt>
                <c:pt idx="232">
                  <c:v>261</c:v>
                </c:pt>
                <c:pt idx="233">
                  <c:v>262</c:v>
                </c:pt>
                <c:pt idx="234">
                  <c:v>263</c:v>
                </c:pt>
                <c:pt idx="235">
                  <c:v>264</c:v>
                </c:pt>
                <c:pt idx="236">
                  <c:v>265</c:v>
                </c:pt>
                <c:pt idx="237">
                  <c:v>266</c:v>
                </c:pt>
                <c:pt idx="238">
                  <c:v>267</c:v>
                </c:pt>
                <c:pt idx="239">
                  <c:v>268</c:v>
                </c:pt>
                <c:pt idx="240">
                  <c:v>269</c:v>
                </c:pt>
                <c:pt idx="241">
                  <c:v>270</c:v>
                </c:pt>
                <c:pt idx="242">
                  <c:v>271</c:v>
                </c:pt>
                <c:pt idx="243">
                  <c:v>272</c:v>
                </c:pt>
                <c:pt idx="244">
                  <c:v>273</c:v>
                </c:pt>
                <c:pt idx="245">
                  <c:v>274</c:v>
                </c:pt>
                <c:pt idx="246">
                  <c:v>275</c:v>
                </c:pt>
                <c:pt idx="247">
                  <c:v>276</c:v>
                </c:pt>
                <c:pt idx="248">
                  <c:v>277</c:v>
                </c:pt>
                <c:pt idx="249">
                  <c:v>278</c:v>
                </c:pt>
                <c:pt idx="250">
                  <c:v>279</c:v>
                </c:pt>
                <c:pt idx="251">
                  <c:v>280</c:v>
                </c:pt>
                <c:pt idx="252">
                  <c:v>281</c:v>
                </c:pt>
                <c:pt idx="253">
                  <c:v>282</c:v>
                </c:pt>
                <c:pt idx="254">
                  <c:v>283</c:v>
                </c:pt>
                <c:pt idx="255">
                  <c:v>284</c:v>
                </c:pt>
                <c:pt idx="256">
                  <c:v>285</c:v>
                </c:pt>
                <c:pt idx="257">
                  <c:v>286</c:v>
                </c:pt>
                <c:pt idx="258">
                  <c:v>287</c:v>
                </c:pt>
                <c:pt idx="259">
                  <c:v>228</c:v>
                </c:pt>
                <c:pt idx="260">
                  <c:v>247</c:v>
                </c:pt>
                <c:pt idx="261">
                  <c:v>262</c:v>
                </c:pt>
                <c:pt idx="262">
                  <c:v>281</c:v>
                </c:pt>
                <c:pt idx="263">
                  <c:v>228</c:v>
                </c:pt>
                <c:pt idx="264">
                  <c:v>247</c:v>
                </c:pt>
                <c:pt idx="265">
                  <c:v>262</c:v>
                </c:pt>
                <c:pt idx="266">
                  <c:v>281</c:v>
                </c:pt>
              </c:numCache>
            </c:numRef>
          </c:xVal>
          <c:yVal>
            <c:numRef>
              <c:f>'1996 alfalfa graphing'!$AO$5:$AO$271</c:f>
              <c:numCache>
                <c:formatCode>General</c:formatCode>
                <c:ptCount val="267"/>
                <c:pt idx="146">
                  <c:v>0</c:v>
                </c:pt>
                <c:pt idx="147">
                  <c:v>3.098860667632648</c:v>
                </c:pt>
                <c:pt idx="148">
                  <c:v>4.0928237154315434</c:v>
                </c:pt>
                <c:pt idx="149">
                  <c:v>4.9660619799455628</c:v>
                </c:pt>
                <c:pt idx="150">
                  <c:v>0</c:v>
                </c:pt>
                <c:pt idx="151">
                  <c:v>3.2272061959975078</c:v>
                </c:pt>
                <c:pt idx="152">
                  <c:v>4.0959888865092138</c:v>
                </c:pt>
                <c:pt idx="153">
                  <c:v>4.1765155087144166</c:v>
                </c:pt>
              </c:numCache>
            </c:numRef>
          </c:yVal>
          <c:smooth val="0"/>
          <c:extLst>
            <c:ext xmlns:c16="http://schemas.microsoft.com/office/drawing/2014/chart" uri="{C3380CC4-5D6E-409C-BE32-E72D297353CC}">
              <c16:uniqueId val="{00000003-352A-45CE-9764-4115E5DE2888}"/>
            </c:ext>
          </c:extLst>
        </c:ser>
        <c:ser>
          <c:idx val="4"/>
          <c:order val="4"/>
          <c:marker>
            <c:symbol val="none"/>
          </c:marker>
          <c:xVal>
            <c:numRef>
              <c:f>'1996 alfalfa graphing'!$AK$5:$AK$271</c:f>
              <c:numCache>
                <c:formatCode>General</c:formatCode>
                <c:ptCount val="267"/>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pt idx="199">
                  <c:v>228</c:v>
                </c:pt>
                <c:pt idx="200">
                  <c:v>229</c:v>
                </c:pt>
                <c:pt idx="201">
                  <c:v>230</c:v>
                </c:pt>
                <c:pt idx="202">
                  <c:v>231</c:v>
                </c:pt>
                <c:pt idx="203">
                  <c:v>232</c:v>
                </c:pt>
                <c:pt idx="204">
                  <c:v>233</c:v>
                </c:pt>
                <c:pt idx="205">
                  <c:v>234</c:v>
                </c:pt>
                <c:pt idx="206">
                  <c:v>235</c:v>
                </c:pt>
                <c:pt idx="207">
                  <c:v>236</c:v>
                </c:pt>
                <c:pt idx="208">
                  <c:v>237</c:v>
                </c:pt>
                <c:pt idx="209">
                  <c:v>238</c:v>
                </c:pt>
                <c:pt idx="210">
                  <c:v>239</c:v>
                </c:pt>
                <c:pt idx="211">
                  <c:v>240</c:v>
                </c:pt>
                <c:pt idx="212">
                  <c:v>241</c:v>
                </c:pt>
                <c:pt idx="213">
                  <c:v>242</c:v>
                </c:pt>
                <c:pt idx="214">
                  <c:v>243</c:v>
                </c:pt>
                <c:pt idx="215">
                  <c:v>244</c:v>
                </c:pt>
                <c:pt idx="216">
                  <c:v>245</c:v>
                </c:pt>
                <c:pt idx="217">
                  <c:v>246</c:v>
                </c:pt>
                <c:pt idx="218">
                  <c:v>247</c:v>
                </c:pt>
                <c:pt idx="219">
                  <c:v>248</c:v>
                </c:pt>
                <c:pt idx="220">
                  <c:v>249</c:v>
                </c:pt>
                <c:pt idx="221">
                  <c:v>250</c:v>
                </c:pt>
                <c:pt idx="222">
                  <c:v>251</c:v>
                </c:pt>
                <c:pt idx="223">
                  <c:v>252</c:v>
                </c:pt>
                <c:pt idx="224">
                  <c:v>253</c:v>
                </c:pt>
                <c:pt idx="225">
                  <c:v>254</c:v>
                </c:pt>
                <c:pt idx="226">
                  <c:v>255</c:v>
                </c:pt>
                <c:pt idx="227">
                  <c:v>256</c:v>
                </c:pt>
                <c:pt idx="228">
                  <c:v>257</c:v>
                </c:pt>
                <c:pt idx="229">
                  <c:v>258</c:v>
                </c:pt>
                <c:pt idx="230">
                  <c:v>259</c:v>
                </c:pt>
                <c:pt idx="231">
                  <c:v>260</c:v>
                </c:pt>
                <c:pt idx="232">
                  <c:v>261</c:v>
                </c:pt>
                <c:pt idx="233">
                  <c:v>262</c:v>
                </c:pt>
                <c:pt idx="234">
                  <c:v>263</c:v>
                </c:pt>
                <c:pt idx="235">
                  <c:v>264</c:v>
                </c:pt>
                <c:pt idx="236">
                  <c:v>265</c:v>
                </c:pt>
                <c:pt idx="237">
                  <c:v>266</c:v>
                </c:pt>
                <c:pt idx="238">
                  <c:v>267</c:v>
                </c:pt>
                <c:pt idx="239">
                  <c:v>268</c:v>
                </c:pt>
                <c:pt idx="240">
                  <c:v>269</c:v>
                </c:pt>
                <c:pt idx="241">
                  <c:v>270</c:v>
                </c:pt>
                <c:pt idx="242">
                  <c:v>271</c:v>
                </c:pt>
                <c:pt idx="243">
                  <c:v>272</c:v>
                </c:pt>
                <c:pt idx="244">
                  <c:v>273</c:v>
                </c:pt>
                <c:pt idx="245">
                  <c:v>274</c:v>
                </c:pt>
                <c:pt idx="246">
                  <c:v>275</c:v>
                </c:pt>
                <c:pt idx="247">
                  <c:v>276</c:v>
                </c:pt>
                <c:pt idx="248">
                  <c:v>277</c:v>
                </c:pt>
                <c:pt idx="249">
                  <c:v>278</c:v>
                </c:pt>
                <c:pt idx="250">
                  <c:v>279</c:v>
                </c:pt>
                <c:pt idx="251">
                  <c:v>280</c:v>
                </c:pt>
                <c:pt idx="252">
                  <c:v>281</c:v>
                </c:pt>
                <c:pt idx="253">
                  <c:v>282</c:v>
                </c:pt>
                <c:pt idx="254">
                  <c:v>283</c:v>
                </c:pt>
                <c:pt idx="255">
                  <c:v>284</c:v>
                </c:pt>
                <c:pt idx="256">
                  <c:v>285</c:v>
                </c:pt>
                <c:pt idx="257">
                  <c:v>286</c:v>
                </c:pt>
                <c:pt idx="258">
                  <c:v>287</c:v>
                </c:pt>
                <c:pt idx="259">
                  <c:v>228</c:v>
                </c:pt>
                <c:pt idx="260">
                  <c:v>247</c:v>
                </c:pt>
                <c:pt idx="261">
                  <c:v>262</c:v>
                </c:pt>
                <c:pt idx="262">
                  <c:v>281</c:v>
                </c:pt>
                <c:pt idx="263">
                  <c:v>228</c:v>
                </c:pt>
                <c:pt idx="264">
                  <c:v>247</c:v>
                </c:pt>
                <c:pt idx="265">
                  <c:v>262</c:v>
                </c:pt>
                <c:pt idx="266">
                  <c:v>281</c:v>
                </c:pt>
              </c:numCache>
            </c:numRef>
          </c:xVal>
          <c:yVal>
            <c:numRef>
              <c:f>'1996 alfalfa graphing'!$AP$5:$AP$271</c:f>
              <c:numCache>
                <c:formatCode>General</c:formatCode>
                <c:ptCount val="267"/>
                <c:pt idx="154">
                  <c:v>0</c:v>
                </c:pt>
                <c:pt idx="155">
                  <c:v>0.13300419999999999</c:v>
                </c:pt>
                <c:pt idx="156">
                  <c:v>0.27930090000000002</c:v>
                </c:pt>
                <c:pt idx="157">
                  <c:v>0.4380116</c:v>
                </c:pt>
                <c:pt idx="158">
                  <c:v>0.60825680000000004</c:v>
                </c:pt>
                <c:pt idx="159">
                  <c:v>0.78915690000000005</c:v>
                </c:pt>
                <c:pt idx="160">
                  <c:v>0.9798325</c:v>
                </c:pt>
                <c:pt idx="161">
                  <c:v>1.1794039999999999</c:v>
                </c:pt>
                <c:pt idx="162">
                  <c:v>1.386992</c:v>
                </c:pt>
                <c:pt idx="163">
                  <c:v>1.6017159999999999</c:v>
                </c:pt>
                <c:pt idx="164">
                  <c:v>1.8226979999999999</c:v>
                </c:pt>
                <c:pt idx="165">
                  <c:v>2.0490569999999999</c:v>
                </c:pt>
                <c:pt idx="166">
                  <c:v>2.2799149999999999</c:v>
                </c:pt>
                <c:pt idx="167">
                  <c:v>2.514392</c:v>
                </c:pt>
                <c:pt idx="168">
                  <c:v>2.7516069999999999</c:v>
                </c:pt>
                <c:pt idx="169">
                  <c:v>2.9901779999999998</c:v>
                </c:pt>
                <c:pt idx="170">
                  <c:v>3.2272249999999998</c:v>
                </c:pt>
                <c:pt idx="171">
                  <c:v>3.4595940000000001</c:v>
                </c:pt>
                <c:pt idx="172">
                  <c:v>3.684129</c:v>
                </c:pt>
                <c:pt idx="173">
                  <c:v>3.897675</c:v>
                </c:pt>
                <c:pt idx="174">
                  <c:v>4.0970769999999996</c:v>
                </c:pt>
                <c:pt idx="175">
                  <c:v>4.2791800000000002</c:v>
                </c:pt>
                <c:pt idx="176">
                  <c:v>4.4408279999999998</c:v>
                </c:pt>
                <c:pt idx="177">
                  <c:v>4.5788659999999997</c:v>
                </c:pt>
                <c:pt idx="178">
                  <c:v>4.6901380000000001</c:v>
                </c:pt>
                <c:pt idx="179">
                  <c:v>4.77149</c:v>
                </c:pt>
                <c:pt idx="180">
                  <c:v>4.8207950000000004</c:v>
                </c:pt>
                <c:pt idx="181">
                  <c:v>4.8400299999999996</c:v>
                </c:pt>
                <c:pt idx="182">
                  <c:v>4.8322019999999997</c:v>
                </c:pt>
                <c:pt idx="183">
                  <c:v>4.8003210000000003</c:v>
                </c:pt>
                <c:pt idx="184">
                  <c:v>4.7473910000000004</c:v>
                </c:pt>
                <c:pt idx="185">
                  <c:v>4.6764210000000004</c:v>
                </c:pt>
                <c:pt idx="186">
                  <c:v>4.5904160000000003</c:v>
                </c:pt>
                <c:pt idx="187">
                  <c:v>4.4923840000000004</c:v>
                </c:pt>
                <c:pt idx="188">
                  <c:v>4.3853330000000001</c:v>
                </c:pt>
                <c:pt idx="189">
                  <c:v>4.2722680000000004</c:v>
                </c:pt>
                <c:pt idx="190">
                  <c:v>4.1561979999999998</c:v>
                </c:pt>
              </c:numCache>
            </c:numRef>
          </c:yVal>
          <c:smooth val="0"/>
          <c:extLst>
            <c:ext xmlns:c16="http://schemas.microsoft.com/office/drawing/2014/chart" uri="{C3380CC4-5D6E-409C-BE32-E72D297353CC}">
              <c16:uniqueId val="{00000004-352A-45CE-9764-4115E5DE2888}"/>
            </c:ext>
          </c:extLst>
        </c:ser>
        <c:ser>
          <c:idx val="5"/>
          <c:order val="5"/>
          <c:spPr>
            <a:ln w="19050">
              <a:noFill/>
            </a:ln>
          </c:spPr>
          <c:xVal>
            <c:numRef>
              <c:f>'1996 alfalfa graphing'!$AK$5:$AK$271</c:f>
              <c:numCache>
                <c:formatCode>General</c:formatCode>
                <c:ptCount val="267"/>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pt idx="199">
                  <c:v>228</c:v>
                </c:pt>
                <c:pt idx="200">
                  <c:v>229</c:v>
                </c:pt>
                <c:pt idx="201">
                  <c:v>230</c:v>
                </c:pt>
                <c:pt idx="202">
                  <c:v>231</c:v>
                </c:pt>
                <c:pt idx="203">
                  <c:v>232</c:v>
                </c:pt>
                <c:pt idx="204">
                  <c:v>233</c:v>
                </c:pt>
                <c:pt idx="205">
                  <c:v>234</c:v>
                </c:pt>
                <c:pt idx="206">
                  <c:v>235</c:v>
                </c:pt>
                <c:pt idx="207">
                  <c:v>236</c:v>
                </c:pt>
                <c:pt idx="208">
                  <c:v>237</c:v>
                </c:pt>
                <c:pt idx="209">
                  <c:v>238</c:v>
                </c:pt>
                <c:pt idx="210">
                  <c:v>239</c:v>
                </c:pt>
                <c:pt idx="211">
                  <c:v>240</c:v>
                </c:pt>
                <c:pt idx="212">
                  <c:v>241</c:v>
                </c:pt>
                <c:pt idx="213">
                  <c:v>242</c:v>
                </c:pt>
                <c:pt idx="214">
                  <c:v>243</c:v>
                </c:pt>
                <c:pt idx="215">
                  <c:v>244</c:v>
                </c:pt>
                <c:pt idx="216">
                  <c:v>245</c:v>
                </c:pt>
                <c:pt idx="217">
                  <c:v>246</c:v>
                </c:pt>
                <c:pt idx="218">
                  <c:v>247</c:v>
                </c:pt>
                <c:pt idx="219">
                  <c:v>248</c:v>
                </c:pt>
                <c:pt idx="220">
                  <c:v>249</c:v>
                </c:pt>
                <c:pt idx="221">
                  <c:v>250</c:v>
                </c:pt>
                <c:pt idx="222">
                  <c:v>251</c:v>
                </c:pt>
                <c:pt idx="223">
                  <c:v>252</c:v>
                </c:pt>
                <c:pt idx="224">
                  <c:v>253</c:v>
                </c:pt>
                <c:pt idx="225">
                  <c:v>254</c:v>
                </c:pt>
                <c:pt idx="226">
                  <c:v>255</c:v>
                </c:pt>
                <c:pt idx="227">
                  <c:v>256</c:v>
                </c:pt>
                <c:pt idx="228">
                  <c:v>257</c:v>
                </c:pt>
                <c:pt idx="229">
                  <c:v>258</c:v>
                </c:pt>
                <c:pt idx="230">
                  <c:v>259</c:v>
                </c:pt>
                <c:pt idx="231">
                  <c:v>260</c:v>
                </c:pt>
                <c:pt idx="232">
                  <c:v>261</c:v>
                </c:pt>
                <c:pt idx="233">
                  <c:v>262</c:v>
                </c:pt>
                <c:pt idx="234">
                  <c:v>263</c:v>
                </c:pt>
                <c:pt idx="235">
                  <c:v>264</c:v>
                </c:pt>
                <c:pt idx="236">
                  <c:v>265</c:v>
                </c:pt>
                <c:pt idx="237">
                  <c:v>266</c:v>
                </c:pt>
                <c:pt idx="238">
                  <c:v>267</c:v>
                </c:pt>
                <c:pt idx="239">
                  <c:v>268</c:v>
                </c:pt>
                <c:pt idx="240">
                  <c:v>269</c:v>
                </c:pt>
                <c:pt idx="241">
                  <c:v>270</c:v>
                </c:pt>
                <c:pt idx="242">
                  <c:v>271</c:v>
                </c:pt>
                <c:pt idx="243">
                  <c:v>272</c:v>
                </c:pt>
                <c:pt idx="244">
                  <c:v>273</c:v>
                </c:pt>
                <c:pt idx="245">
                  <c:v>274</c:v>
                </c:pt>
                <c:pt idx="246">
                  <c:v>275</c:v>
                </c:pt>
                <c:pt idx="247">
                  <c:v>276</c:v>
                </c:pt>
                <c:pt idx="248">
                  <c:v>277</c:v>
                </c:pt>
                <c:pt idx="249">
                  <c:v>278</c:v>
                </c:pt>
                <c:pt idx="250">
                  <c:v>279</c:v>
                </c:pt>
                <c:pt idx="251">
                  <c:v>280</c:v>
                </c:pt>
                <c:pt idx="252">
                  <c:v>281</c:v>
                </c:pt>
                <c:pt idx="253">
                  <c:v>282</c:v>
                </c:pt>
                <c:pt idx="254">
                  <c:v>283</c:v>
                </c:pt>
                <c:pt idx="255">
                  <c:v>284</c:v>
                </c:pt>
                <c:pt idx="256">
                  <c:v>285</c:v>
                </c:pt>
                <c:pt idx="257">
                  <c:v>286</c:v>
                </c:pt>
                <c:pt idx="258">
                  <c:v>287</c:v>
                </c:pt>
                <c:pt idx="259">
                  <c:v>228</c:v>
                </c:pt>
                <c:pt idx="260">
                  <c:v>247</c:v>
                </c:pt>
                <c:pt idx="261">
                  <c:v>262</c:v>
                </c:pt>
                <c:pt idx="262">
                  <c:v>281</c:v>
                </c:pt>
                <c:pt idx="263">
                  <c:v>228</c:v>
                </c:pt>
                <c:pt idx="264">
                  <c:v>247</c:v>
                </c:pt>
                <c:pt idx="265">
                  <c:v>262</c:v>
                </c:pt>
                <c:pt idx="266">
                  <c:v>281</c:v>
                </c:pt>
              </c:numCache>
            </c:numRef>
          </c:xVal>
          <c:yVal>
            <c:numRef>
              <c:f>'1996 alfalfa graphing'!$AQ$5:$AQ$271</c:f>
              <c:numCache>
                <c:formatCode>General</c:formatCode>
                <c:ptCount val="267"/>
                <c:pt idx="191">
                  <c:v>0</c:v>
                </c:pt>
                <c:pt idx="192">
                  <c:v>3.5941074830795863</c:v>
                </c:pt>
                <c:pt idx="193">
                  <c:v>4.6871727273505881</c:v>
                </c:pt>
                <c:pt idx="194">
                  <c:v>4.3231498065161915</c:v>
                </c:pt>
                <c:pt idx="195">
                  <c:v>0</c:v>
                </c:pt>
                <c:pt idx="196">
                  <c:v>3.3250848096369863</c:v>
                </c:pt>
                <c:pt idx="197">
                  <c:v>4.9772255572269897</c:v>
                </c:pt>
                <c:pt idx="198">
                  <c:v>3.7571007458158396</c:v>
                </c:pt>
              </c:numCache>
            </c:numRef>
          </c:yVal>
          <c:smooth val="0"/>
          <c:extLst>
            <c:ext xmlns:c16="http://schemas.microsoft.com/office/drawing/2014/chart" uri="{C3380CC4-5D6E-409C-BE32-E72D297353CC}">
              <c16:uniqueId val="{00000005-352A-45CE-9764-4115E5DE2888}"/>
            </c:ext>
          </c:extLst>
        </c:ser>
        <c:ser>
          <c:idx val="6"/>
          <c:order val="6"/>
          <c:marker>
            <c:symbol val="none"/>
          </c:marker>
          <c:xVal>
            <c:numRef>
              <c:f>'1996 alfalfa graphing'!$AK$5:$AK$271</c:f>
              <c:numCache>
                <c:formatCode>General</c:formatCode>
                <c:ptCount val="267"/>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pt idx="199">
                  <c:v>228</c:v>
                </c:pt>
                <c:pt idx="200">
                  <c:v>229</c:v>
                </c:pt>
                <c:pt idx="201">
                  <c:v>230</c:v>
                </c:pt>
                <c:pt idx="202">
                  <c:v>231</c:v>
                </c:pt>
                <c:pt idx="203">
                  <c:v>232</c:v>
                </c:pt>
                <c:pt idx="204">
                  <c:v>233</c:v>
                </c:pt>
                <c:pt idx="205">
                  <c:v>234</c:v>
                </c:pt>
                <c:pt idx="206">
                  <c:v>235</c:v>
                </c:pt>
                <c:pt idx="207">
                  <c:v>236</c:v>
                </c:pt>
                <c:pt idx="208">
                  <c:v>237</c:v>
                </c:pt>
                <c:pt idx="209">
                  <c:v>238</c:v>
                </c:pt>
                <c:pt idx="210">
                  <c:v>239</c:v>
                </c:pt>
                <c:pt idx="211">
                  <c:v>240</c:v>
                </c:pt>
                <c:pt idx="212">
                  <c:v>241</c:v>
                </c:pt>
                <c:pt idx="213">
                  <c:v>242</c:v>
                </c:pt>
                <c:pt idx="214">
                  <c:v>243</c:v>
                </c:pt>
                <c:pt idx="215">
                  <c:v>244</c:v>
                </c:pt>
                <c:pt idx="216">
                  <c:v>245</c:v>
                </c:pt>
                <c:pt idx="217">
                  <c:v>246</c:v>
                </c:pt>
                <c:pt idx="218">
                  <c:v>247</c:v>
                </c:pt>
                <c:pt idx="219">
                  <c:v>248</c:v>
                </c:pt>
                <c:pt idx="220">
                  <c:v>249</c:v>
                </c:pt>
                <c:pt idx="221">
                  <c:v>250</c:v>
                </c:pt>
                <c:pt idx="222">
                  <c:v>251</c:v>
                </c:pt>
                <c:pt idx="223">
                  <c:v>252</c:v>
                </c:pt>
                <c:pt idx="224">
                  <c:v>253</c:v>
                </c:pt>
                <c:pt idx="225">
                  <c:v>254</c:v>
                </c:pt>
                <c:pt idx="226">
                  <c:v>255</c:v>
                </c:pt>
                <c:pt idx="227">
                  <c:v>256</c:v>
                </c:pt>
                <c:pt idx="228">
                  <c:v>257</c:v>
                </c:pt>
                <c:pt idx="229">
                  <c:v>258</c:v>
                </c:pt>
                <c:pt idx="230">
                  <c:v>259</c:v>
                </c:pt>
                <c:pt idx="231">
                  <c:v>260</c:v>
                </c:pt>
                <c:pt idx="232">
                  <c:v>261</c:v>
                </c:pt>
                <c:pt idx="233">
                  <c:v>262</c:v>
                </c:pt>
                <c:pt idx="234">
                  <c:v>263</c:v>
                </c:pt>
                <c:pt idx="235">
                  <c:v>264</c:v>
                </c:pt>
                <c:pt idx="236">
                  <c:v>265</c:v>
                </c:pt>
                <c:pt idx="237">
                  <c:v>266</c:v>
                </c:pt>
                <c:pt idx="238">
                  <c:v>267</c:v>
                </c:pt>
                <c:pt idx="239">
                  <c:v>268</c:v>
                </c:pt>
                <c:pt idx="240">
                  <c:v>269</c:v>
                </c:pt>
                <c:pt idx="241">
                  <c:v>270</c:v>
                </c:pt>
                <c:pt idx="242">
                  <c:v>271</c:v>
                </c:pt>
                <c:pt idx="243">
                  <c:v>272</c:v>
                </c:pt>
                <c:pt idx="244">
                  <c:v>273</c:v>
                </c:pt>
                <c:pt idx="245">
                  <c:v>274</c:v>
                </c:pt>
                <c:pt idx="246">
                  <c:v>275</c:v>
                </c:pt>
                <c:pt idx="247">
                  <c:v>276</c:v>
                </c:pt>
                <c:pt idx="248">
                  <c:v>277</c:v>
                </c:pt>
                <c:pt idx="249">
                  <c:v>278</c:v>
                </c:pt>
                <c:pt idx="250">
                  <c:v>279</c:v>
                </c:pt>
                <c:pt idx="251">
                  <c:v>280</c:v>
                </c:pt>
                <c:pt idx="252">
                  <c:v>281</c:v>
                </c:pt>
                <c:pt idx="253">
                  <c:v>282</c:v>
                </c:pt>
                <c:pt idx="254">
                  <c:v>283</c:v>
                </c:pt>
                <c:pt idx="255">
                  <c:v>284</c:v>
                </c:pt>
                <c:pt idx="256">
                  <c:v>285</c:v>
                </c:pt>
                <c:pt idx="257">
                  <c:v>286</c:v>
                </c:pt>
                <c:pt idx="258">
                  <c:v>287</c:v>
                </c:pt>
                <c:pt idx="259">
                  <c:v>228</c:v>
                </c:pt>
                <c:pt idx="260">
                  <c:v>247</c:v>
                </c:pt>
                <c:pt idx="261">
                  <c:v>262</c:v>
                </c:pt>
                <c:pt idx="262">
                  <c:v>281</c:v>
                </c:pt>
                <c:pt idx="263">
                  <c:v>228</c:v>
                </c:pt>
                <c:pt idx="264">
                  <c:v>247</c:v>
                </c:pt>
                <c:pt idx="265">
                  <c:v>262</c:v>
                </c:pt>
                <c:pt idx="266">
                  <c:v>281</c:v>
                </c:pt>
              </c:numCache>
            </c:numRef>
          </c:xVal>
          <c:yVal>
            <c:numRef>
              <c:f>'1996 alfalfa graphing'!$AR$5:$AR$271</c:f>
              <c:numCache>
                <c:formatCode>General</c:formatCode>
                <c:ptCount val="267"/>
                <c:pt idx="199">
                  <c:v>0</c:v>
                </c:pt>
                <c:pt idx="200">
                  <c:v>0.21466640000000001</c:v>
                </c:pt>
                <c:pt idx="201">
                  <c:v>0.42436459999999998</c:v>
                </c:pt>
                <c:pt idx="202">
                  <c:v>0.63047059999999999</c:v>
                </c:pt>
                <c:pt idx="203">
                  <c:v>0.8343604</c:v>
                </c:pt>
                <c:pt idx="204">
                  <c:v>1.0374060000000001</c:v>
                </c:pt>
                <c:pt idx="205">
                  <c:v>1.240332</c:v>
                </c:pt>
                <c:pt idx="206">
                  <c:v>1.442415</c:v>
                </c:pt>
                <c:pt idx="207">
                  <c:v>1.6427339999999999</c:v>
                </c:pt>
                <c:pt idx="208">
                  <c:v>1.840371</c:v>
                </c:pt>
                <c:pt idx="209">
                  <c:v>2.0344060000000002</c:v>
                </c:pt>
                <c:pt idx="210">
                  <c:v>2.2239179999999998</c:v>
                </c:pt>
                <c:pt idx="211">
                  <c:v>2.4079899999999999</c:v>
                </c:pt>
                <c:pt idx="212">
                  <c:v>2.5857000000000001</c:v>
                </c:pt>
                <c:pt idx="213">
                  <c:v>2.7561300000000002</c:v>
                </c:pt>
                <c:pt idx="214">
                  <c:v>2.9183590000000001</c:v>
                </c:pt>
                <c:pt idx="215">
                  <c:v>3.071469</c:v>
                </c:pt>
                <c:pt idx="216">
                  <c:v>3.21454</c:v>
                </c:pt>
                <c:pt idx="217">
                  <c:v>3.3466520000000002</c:v>
                </c:pt>
                <c:pt idx="218">
                  <c:v>3.466885</c:v>
                </c:pt>
                <c:pt idx="219">
                  <c:v>3.5743209999999999</c:v>
                </c:pt>
                <c:pt idx="220">
                  <c:v>3.6682929999999998</c:v>
                </c:pt>
                <c:pt idx="221">
                  <c:v>3.7491590000000001</c:v>
                </c:pt>
                <c:pt idx="222">
                  <c:v>3.8175279999999998</c:v>
                </c:pt>
                <c:pt idx="223">
                  <c:v>3.874009</c:v>
                </c:pt>
                <c:pt idx="224">
                  <c:v>3.9192140000000002</c:v>
                </c:pt>
                <c:pt idx="225">
                  <c:v>3.9537529999999999</c:v>
                </c:pt>
                <c:pt idx="226">
                  <c:v>3.9782350000000002</c:v>
                </c:pt>
                <c:pt idx="227">
                  <c:v>3.993271</c:v>
                </c:pt>
                <c:pt idx="228">
                  <c:v>3.9994710000000002</c:v>
                </c:pt>
                <c:pt idx="229">
                  <c:v>3.9974460000000001</c:v>
                </c:pt>
                <c:pt idx="230">
                  <c:v>3.9878049999999998</c:v>
                </c:pt>
                <c:pt idx="231">
                  <c:v>3.9711590000000001</c:v>
                </c:pt>
                <c:pt idx="232">
                  <c:v>3.9481169999999999</c:v>
                </c:pt>
                <c:pt idx="233">
                  <c:v>3.9192909999999999</c:v>
                </c:pt>
                <c:pt idx="234">
                  <c:v>3.8852899999999999</c:v>
                </c:pt>
                <c:pt idx="235">
                  <c:v>3.8467250000000002</c:v>
                </c:pt>
                <c:pt idx="236">
                  <c:v>3.8042050000000001</c:v>
                </c:pt>
                <c:pt idx="237">
                  <c:v>3.7583410000000002</c:v>
                </c:pt>
                <c:pt idx="238">
                  <c:v>3.709743</c:v>
                </c:pt>
                <c:pt idx="239">
                  <c:v>3.6590220000000002</c:v>
                </c:pt>
                <c:pt idx="240">
                  <c:v>3.6067879999999999</c:v>
                </c:pt>
                <c:pt idx="241">
                  <c:v>3.5536500000000002</c:v>
                </c:pt>
                <c:pt idx="242">
                  <c:v>3.500219</c:v>
                </c:pt>
                <c:pt idx="243">
                  <c:v>3.4471050000000001</c:v>
                </c:pt>
                <c:pt idx="244">
                  <c:v>3.3949180000000001</c:v>
                </c:pt>
                <c:pt idx="245">
                  <c:v>3.3442690000000002</c:v>
                </c:pt>
                <c:pt idx="246">
                  <c:v>3.2957679999999998</c:v>
                </c:pt>
                <c:pt idx="247">
                  <c:v>3.2500249999999999</c:v>
                </c:pt>
                <c:pt idx="248">
                  <c:v>3.207649</c:v>
                </c:pt>
                <c:pt idx="249">
                  <c:v>3.1692529999999999</c:v>
                </c:pt>
                <c:pt idx="250">
                  <c:v>3.1354440000000001</c:v>
                </c:pt>
                <c:pt idx="251">
                  <c:v>3.1068349999999998</c:v>
                </c:pt>
                <c:pt idx="252">
                  <c:v>3.0840350000000001</c:v>
                </c:pt>
                <c:pt idx="253">
                  <c:v>3.0840350000000001</c:v>
                </c:pt>
                <c:pt idx="254">
                  <c:v>3.0840350000000001</c:v>
                </c:pt>
                <c:pt idx="255">
                  <c:v>3.0840350000000001</c:v>
                </c:pt>
                <c:pt idx="256">
                  <c:v>3.0840350000000001</c:v>
                </c:pt>
                <c:pt idx="257">
                  <c:v>3.0840350000000001</c:v>
                </c:pt>
                <c:pt idx="258">
                  <c:v>3.0840350000000001</c:v>
                </c:pt>
              </c:numCache>
            </c:numRef>
          </c:yVal>
          <c:smooth val="0"/>
          <c:extLst>
            <c:ext xmlns:c16="http://schemas.microsoft.com/office/drawing/2014/chart" uri="{C3380CC4-5D6E-409C-BE32-E72D297353CC}">
              <c16:uniqueId val="{00000001-495A-421D-8C8A-6CBE21550123}"/>
            </c:ext>
          </c:extLst>
        </c:ser>
        <c:ser>
          <c:idx val="7"/>
          <c:order val="7"/>
          <c:spPr>
            <a:ln>
              <a:noFill/>
            </a:ln>
          </c:spPr>
          <c:marker>
            <c:symbol val="circle"/>
            <c:size val="5"/>
            <c:spPr>
              <a:ln w="12700">
                <a:solidFill>
                  <a:schemeClr val="tx1"/>
                </a:solidFill>
              </a:ln>
            </c:spPr>
          </c:marker>
          <c:xVal>
            <c:numRef>
              <c:f>'1996 alfalfa graphing'!$AK$5:$AK$271</c:f>
              <c:numCache>
                <c:formatCode>General</c:formatCode>
                <c:ptCount val="267"/>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53</c:v>
                </c:pt>
                <c:pt idx="91">
                  <c:v>108</c:v>
                </c:pt>
                <c:pt idx="92">
                  <c:v>122</c:v>
                </c:pt>
                <c:pt idx="93">
                  <c:v>141</c:v>
                </c:pt>
                <c:pt idx="94">
                  <c:v>53</c:v>
                </c:pt>
                <c:pt idx="95">
                  <c:v>108</c:v>
                </c:pt>
                <c:pt idx="96">
                  <c:v>122</c:v>
                </c:pt>
                <c:pt idx="97">
                  <c:v>141</c:v>
                </c:pt>
                <c:pt idx="98">
                  <c:v>142</c:v>
                </c:pt>
                <c:pt idx="99">
                  <c:v>143</c:v>
                </c:pt>
                <c:pt idx="100">
                  <c:v>144</c:v>
                </c:pt>
                <c:pt idx="101">
                  <c:v>145</c:v>
                </c:pt>
                <c:pt idx="102">
                  <c:v>146</c:v>
                </c:pt>
                <c:pt idx="103">
                  <c:v>147</c:v>
                </c:pt>
                <c:pt idx="104">
                  <c:v>148</c:v>
                </c:pt>
                <c:pt idx="105">
                  <c:v>149</c:v>
                </c:pt>
                <c:pt idx="106">
                  <c:v>150</c:v>
                </c:pt>
                <c:pt idx="107">
                  <c:v>151</c:v>
                </c:pt>
                <c:pt idx="108">
                  <c:v>152</c:v>
                </c:pt>
                <c:pt idx="109">
                  <c:v>153</c:v>
                </c:pt>
                <c:pt idx="110">
                  <c:v>154</c:v>
                </c:pt>
                <c:pt idx="111">
                  <c:v>155</c:v>
                </c:pt>
                <c:pt idx="112">
                  <c:v>156</c:v>
                </c:pt>
                <c:pt idx="113">
                  <c:v>157</c:v>
                </c:pt>
                <c:pt idx="114">
                  <c:v>158</c:v>
                </c:pt>
                <c:pt idx="115">
                  <c:v>159</c:v>
                </c:pt>
                <c:pt idx="116">
                  <c:v>160</c:v>
                </c:pt>
                <c:pt idx="117">
                  <c:v>161</c:v>
                </c:pt>
                <c:pt idx="118">
                  <c:v>162</c:v>
                </c:pt>
                <c:pt idx="119">
                  <c:v>163</c:v>
                </c:pt>
                <c:pt idx="120">
                  <c:v>164</c:v>
                </c:pt>
                <c:pt idx="121">
                  <c:v>165</c:v>
                </c:pt>
                <c:pt idx="122">
                  <c:v>166</c:v>
                </c:pt>
                <c:pt idx="123">
                  <c:v>167</c:v>
                </c:pt>
                <c:pt idx="124">
                  <c:v>168</c:v>
                </c:pt>
                <c:pt idx="125">
                  <c:v>169</c:v>
                </c:pt>
                <c:pt idx="126">
                  <c:v>170</c:v>
                </c:pt>
                <c:pt idx="127">
                  <c:v>171</c:v>
                </c:pt>
                <c:pt idx="128">
                  <c:v>172</c:v>
                </c:pt>
                <c:pt idx="129">
                  <c:v>173</c:v>
                </c:pt>
                <c:pt idx="130">
                  <c:v>174</c:v>
                </c:pt>
                <c:pt idx="131">
                  <c:v>175</c:v>
                </c:pt>
                <c:pt idx="132">
                  <c:v>176</c:v>
                </c:pt>
                <c:pt idx="133">
                  <c:v>177</c:v>
                </c:pt>
                <c:pt idx="134">
                  <c:v>178</c:v>
                </c:pt>
                <c:pt idx="135">
                  <c:v>179</c:v>
                </c:pt>
                <c:pt idx="136">
                  <c:v>180</c:v>
                </c:pt>
                <c:pt idx="137">
                  <c:v>181</c:v>
                </c:pt>
                <c:pt idx="138">
                  <c:v>182</c:v>
                </c:pt>
                <c:pt idx="139">
                  <c:v>183</c:v>
                </c:pt>
                <c:pt idx="140">
                  <c:v>184</c:v>
                </c:pt>
                <c:pt idx="141">
                  <c:v>185</c:v>
                </c:pt>
                <c:pt idx="142">
                  <c:v>186</c:v>
                </c:pt>
                <c:pt idx="143">
                  <c:v>187</c:v>
                </c:pt>
                <c:pt idx="144">
                  <c:v>188</c:v>
                </c:pt>
                <c:pt idx="145">
                  <c:v>189</c:v>
                </c:pt>
                <c:pt idx="146">
                  <c:v>142</c:v>
                </c:pt>
                <c:pt idx="147">
                  <c:v>158</c:v>
                </c:pt>
                <c:pt idx="148">
                  <c:v>172</c:v>
                </c:pt>
                <c:pt idx="149">
                  <c:v>183</c:v>
                </c:pt>
                <c:pt idx="150">
                  <c:v>142</c:v>
                </c:pt>
                <c:pt idx="151">
                  <c:v>158</c:v>
                </c:pt>
                <c:pt idx="152">
                  <c:v>172</c:v>
                </c:pt>
                <c:pt idx="153">
                  <c:v>183</c:v>
                </c:pt>
                <c:pt idx="154">
                  <c:v>190</c:v>
                </c:pt>
                <c:pt idx="155">
                  <c:v>191</c:v>
                </c:pt>
                <c:pt idx="156">
                  <c:v>192</c:v>
                </c:pt>
                <c:pt idx="157">
                  <c:v>193</c:v>
                </c:pt>
                <c:pt idx="158">
                  <c:v>194</c:v>
                </c:pt>
                <c:pt idx="159">
                  <c:v>195</c:v>
                </c:pt>
                <c:pt idx="160">
                  <c:v>196</c:v>
                </c:pt>
                <c:pt idx="161">
                  <c:v>197</c:v>
                </c:pt>
                <c:pt idx="162">
                  <c:v>198</c:v>
                </c:pt>
                <c:pt idx="163">
                  <c:v>199</c:v>
                </c:pt>
                <c:pt idx="164">
                  <c:v>200</c:v>
                </c:pt>
                <c:pt idx="165">
                  <c:v>201</c:v>
                </c:pt>
                <c:pt idx="166">
                  <c:v>202</c:v>
                </c:pt>
                <c:pt idx="167">
                  <c:v>203</c:v>
                </c:pt>
                <c:pt idx="168">
                  <c:v>204</c:v>
                </c:pt>
                <c:pt idx="169">
                  <c:v>205</c:v>
                </c:pt>
                <c:pt idx="170">
                  <c:v>206</c:v>
                </c:pt>
                <c:pt idx="171">
                  <c:v>207</c:v>
                </c:pt>
                <c:pt idx="172">
                  <c:v>208</c:v>
                </c:pt>
                <c:pt idx="173">
                  <c:v>209</c:v>
                </c:pt>
                <c:pt idx="174">
                  <c:v>210</c:v>
                </c:pt>
                <c:pt idx="175">
                  <c:v>211</c:v>
                </c:pt>
                <c:pt idx="176">
                  <c:v>212</c:v>
                </c:pt>
                <c:pt idx="177">
                  <c:v>213</c:v>
                </c:pt>
                <c:pt idx="178">
                  <c:v>214</c:v>
                </c:pt>
                <c:pt idx="179">
                  <c:v>215</c:v>
                </c:pt>
                <c:pt idx="180">
                  <c:v>216</c:v>
                </c:pt>
                <c:pt idx="181">
                  <c:v>217</c:v>
                </c:pt>
                <c:pt idx="182">
                  <c:v>218</c:v>
                </c:pt>
                <c:pt idx="183">
                  <c:v>219</c:v>
                </c:pt>
                <c:pt idx="184">
                  <c:v>220</c:v>
                </c:pt>
                <c:pt idx="185">
                  <c:v>221</c:v>
                </c:pt>
                <c:pt idx="186">
                  <c:v>222</c:v>
                </c:pt>
                <c:pt idx="187">
                  <c:v>223</c:v>
                </c:pt>
                <c:pt idx="188">
                  <c:v>224</c:v>
                </c:pt>
                <c:pt idx="189">
                  <c:v>225</c:v>
                </c:pt>
                <c:pt idx="190">
                  <c:v>226</c:v>
                </c:pt>
                <c:pt idx="191">
                  <c:v>190</c:v>
                </c:pt>
                <c:pt idx="192">
                  <c:v>207</c:v>
                </c:pt>
                <c:pt idx="193">
                  <c:v>218</c:v>
                </c:pt>
                <c:pt idx="194">
                  <c:v>227</c:v>
                </c:pt>
                <c:pt idx="195">
                  <c:v>190</c:v>
                </c:pt>
                <c:pt idx="196">
                  <c:v>207</c:v>
                </c:pt>
                <c:pt idx="197">
                  <c:v>218</c:v>
                </c:pt>
                <c:pt idx="198">
                  <c:v>227</c:v>
                </c:pt>
                <c:pt idx="199">
                  <c:v>228</c:v>
                </c:pt>
                <c:pt idx="200">
                  <c:v>229</c:v>
                </c:pt>
                <c:pt idx="201">
                  <c:v>230</c:v>
                </c:pt>
                <c:pt idx="202">
                  <c:v>231</c:v>
                </c:pt>
                <c:pt idx="203">
                  <c:v>232</c:v>
                </c:pt>
                <c:pt idx="204">
                  <c:v>233</c:v>
                </c:pt>
                <c:pt idx="205">
                  <c:v>234</c:v>
                </c:pt>
                <c:pt idx="206">
                  <c:v>235</c:v>
                </c:pt>
                <c:pt idx="207">
                  <c:v>236</c:v>
                </c:pt>
                <c:pt idx="208">
                  <c:v>237</c:v>
                </c:pt>
                <c:pt idx="209">
                  <c:v>238</c:v>
                </c:pt>
                <c:pt idx="210">
                  <c:v>239</c:v>
                </c:pt>
                <c:pt idx="211">
                  <c:v>240</c:v>
                </c:pt>
                <c:pt idx="212">
                  <c:v>241</c:v>
                </c:pt>
                <c:pt idx="213">
                  <c:v>242</c:v>
                </c:pt>
                <c:pt idx="214">
                  <c:v>243</c:v>
                </c:pt>
                <c:pt idx="215">
                  <c:v>244</c:v>
                </c:pt>
                <c:pt idx="216">
                  <c:v>245</c:v>
                </c:pt>
                <c:pt idx="217">
                  <c:v>246</c:v>
                </c:pt>
                <c:pt idx="218">
                  <c:v>247</c:v>
                </c:pt>
                <c:pt idx="219">
                  <c:v>248</c:v>
                </c:pt>
                <c:pt idx="220">
                  <c:v>249</c:v>
                </c:pt>
                <c:pt idx="221">
                  <c:v>250</c:v>
                </c:pt>
                <c:pt idx="222">
                  <c:v>251</c:v>
                </c:pt>
                <c:pt idx="223">
                  <c:v>252</c:v>
                </c:pt>
                <c:pt idx="224">
                  <c:v>253</c:v>
                </c:pt>
                <c:pt idx="225">
                  <c:v>254</c:v>
                </c:pt>
                <c:pt idx="226">
                  <c:v>255</c:v>
                </c:pt>
                <c:pt idx="227">
                  <c:v>256</c:v>
                </c:pt>
                <c:pt idx="228">
                  <c:v>257</c:v>
                </c:pt>
                <c:pt idx="229">
                  <c:v>258</c:v>
                </c:pt>
                <c:pt idx="230">
                  <c:v>259</c:v>
                </c:pt>
                <c:pt idx="231">
                  <c:v>260</c:v>
                </c:pt>
                <c:pt idx="232">
                  <c:v>261</c:v>
                </c:pt>
                <c:pt idx="233">
                  <c:v>262</c:v>
                </c:pt>
                <c:pt idx="234">
                  <c:v>263</c:v>
                </c:pt>
                <c:pt idx="235">
                  <c:v>264</c:v>
                </c:pt>
                <c:pt idx="236">
                  <c:v>265</c:v>
                </c:pt>
                <c:pt idx="237">
                  <c:v>266</c:v>
                </c:pt>
                <c:pt idx="238">
                  <c:v>267</c:v>
                </c:pt>
                <c:pt idx="239">
                  <c:v>268</c:v>
                </c:pt>
                <c:pt idx="240">
                  <c:v>269</c:v>
                </c:pt>
                <c:pt idx="241">
                  <c:v>270</c:v>
                </c:pt>
                <c:pt idx="242">
                  <c:v>271</c:v>
                </c:pt>
                <c:pt idx="243">
                  <c:v>272</c:v>
                </c:pt>
                <c:pt idx="244">
                  <c:v>273</c:v>
                </c:pt>
                <c:pt idx="245">
                  <c:v>274</c:v>
                </c:pt>
                <c:pt idx="246">
                  <c:v>275</c:v>
                </c:pt>
                <c:pt idx="247">
                  <c:v>276</c:v>
                </c:pt>
                <c:pt idx="248">
                  <c:v>277</c:v>
                </c:pt>
                <c:pt idx="249">
                  <c:v>278</c:v>
                </c:pt>
                <c:pt idx="250">
                  <c:v>279</c:v>
                </c:pt>
                <c:pt idx="251">
                  <c:v>280</c:v>
                </c:pt>
                <c:pt idx="252">
                  <c:v>281</c:v>
                </c:pt>
                <c:pt idx="253">
                  <c:v>282</c:v>
                </c:pt>
                <c:pt idx="254">
                  <c:v>283</c:v>
                </c:pt>
                <c:pt idx="255">
                  <c:v>284</c:v>
                </c:pt>
                <c:pt idx="256">
                  <c:v>285</c:v>
                </c:pt>
                <c:pt idx="257">
                  <c:v>286</c:v>
                </c:pt>
                <c:pt idx="258">
                  <c:v>287</c:v>
                </c:pt>
                <c:pt idx="259">
                  <c:v>228</c:v>
                </c:pt>
                <c:pt idx="260">
                  <c:v>247</c:v>
                </c:pt>
                <c:pt idx="261">
                  <c:v>262</c:v>
                </c:pt>
                <c:pt idx="262">
                  <c:v>281</c:v>
                </c:pt>
                <c:pt idx="263">
                  <c:v>228</c:v>
                </c:pt>
                <c:pt idx="264">
                  <c:v>247</c:v>
                </c:pt>
                <c:pt idx="265">
                  <c:v>262</c:v>
                </c:pt>
                <c:pt idx="266">
                  <c:v>281</c:v>
                </c:pt>
              </c:numCache>
            </c:numRef>
          </c:xVal>
          <c:yVal>
            <c:numRef>
              <c:f>'1996 alfalfa graphing'!$AS$5:$AS$271</c:f>
              <c:numCache>
                <c:formatCode>General</c:formatCode>
                <c:ptCount val="267"/>
                <c:pt idx="259">
                  <c:v>0</c:v>
                </c:pt>
                <c:pt idx="260">
                  <c:v>3.5218336683169462</c:v>
                </c:pt>
                <c:pt idx="261">
                  <c:v>4.0755224751818462</c:v>
                </c:pt>
                <c:pt idx="262">
                  <c:v>3.2461806376573095</c:v>
                </c:pt>
                <c:pt idx="263">
                  <c:v>0</c:v>
                </c:pt>
                <c:pt idx="264">
                  <c:v>3.4119369521655267</c:v>
                </c:pt>
                <c:pt idx="265">
                  <c:v>3.7630626259108109</c:v>
                </c:pt>
                <c:pt idx="266">
                  <c:v>2.9218867029392261</c:v>
                </c:pt>
              </c:numCache>
            </c:numRef>
          </c:yVal>
          <c:smooth val="0"/>
          <c:extLst>
            <c:ext xmlns:c16="http://schemas.microsoft.com/office/drawing/2014/chart" uri="{C3380CC4-5D6E-409C-BE32-E72D297353CC}">
              <c16:uniqueId val="{00000002-495A-421D-8C8A-6CBE21550123}"/>
            </c:ext>
          </c:extLst>
        </c:ser>
        <c:dLbls>
          <c:showLegendKey val="0"/>
          <c:showVal val="0"/>
          <c:showCatName val="0"/>
          <c:showSerName val="0"/>
          <c:showPercent val="0"/>
          <c:showBubbleSize val="0"/>
        </c:dLbls>
        <c:axId val="1427715552"/>
        <c:axId val="1"/>
      </c:scatterChart>
      <c:valAx>
        <c:axId val="1427715552"/>
        <c:scaling>
          <c:orientation val="minMax"/>
          <c:max val="300"/>
          <c:min val="50"/>
        </c:scaling>
        <c:delete val="0"/>
        <c:axPos val="b"/>
        <c:title>
          <c:tx>
            <c:rich>
              <a:bodyPr/>
              <a:lstStyle/>
              <a:p>
                <a:pPr>
                  <a:defRPr/>
                </a:pPr>
                <a:r>
                  <a:rPr lang="en-US"/>
                  <a:t>DAY OF YEAR, 1996</a:t>
                </a:r>
              </a:p>
            </c:rich>
          </c:tx>
          <c:layout>
            <c:manualLayout>
              <c:xMode val="edge"/>
              <c:yMode val="edge"/>
              <c:x val="0.43917457138033184"/>
              <c:y val="0.92420245938645429"/>
            </c:manualLayout>
          </c:layout>
          <c:overlay val="0"/>
        </c:title>
        <c:numFmt formatCode="General" sourceLinked="1"/>
        <c:majorTickMark val="cross"/>
        <c:minorTickMark val="none"/>
        <c:tickLblPos val="nextTo"/>
        <c:txPr>
          <a:bodyPr rot="0" vert="horz"/>
          <a:lstStyle/>
          <a:p>
            <a:pPr>
              <a:defRPr/>
            </a:pPr>
            <a:endParaRPr lang="en-US"/>
          </a:p>
        </c:txPr>
        <c:crossAx val="1"/>
        <c:crosses val="autoZero"/>
        <c:crossBetween val="midCat"/>
      </c:valAx>
      <c:valAx>
        <c:axId val="1"/>
        <c:scaling>
          <c:orientation val="minMax"/>
        </c:scaling>
        <c:delete val="0"/>
        <c:axPos val="l"/>
        <c:majorGridlines/>
        <c:title>
          <c:tx>
            <c:rich>
              <a:bodyPr rot="-5400000" vert="horz"/>
              <a:lstStyle/>
              <a:p>
                <a:pPr>
                  <a:defRPr/>
                </a:pPr>
                <a:r>
                  <a:rPr lang="en-US"/>
                  <a:t>LEAF AREA INDEX</a:t>
                </a:r>
              </a:p>
            </c:rich>
          </c:tx>
          <c:layout>
            <c:manualLayout>
              <c:xMode val="edge"/>
              <c:yMode val="edge"/>
              <c:x val="1.9990182524894311E-2"/>
              <c:y val="0.26822386997543674"/>
            </c:manualLayout>
          </c:layout>
          <c:overlay val="0"/>
        </c:title>
        <c:numFmt formatCode="General" sourceLinked="1"/>
        <c:majorTickMark val="cross"/>
        <c:minorTickMark val="none"/>
        <c:tickLblPos val="nextTo"/>
        <c:txPr>
          <a:bodyPr rot="0" vert="horz"/>
          <a:lstStyle/>
          <a:p>
            <a:pPr>
              <a:defRPr/>
            </a:pPr>
            <a:endParaRPr lang="en-US"/>
          </a:p>
        </c:txPr>
        <c:crossAx val="1427715552"/>
        <c:crosses val="autoZero"/>
        <c:crossBetween val="midCat"/>
      </c:valAx>
    </c:plotArea>
    <c:plotVisOnly val="0"/>
    <c:dispBlanksAs val="gap"/>
    <c:showDLblsOverMax val="0"/>
  </c:chart>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1996 EAST LYSIMETER FIELD ALFALFA LAI vs. HT</a:t>
            </a:r>
          </a:p>
        </c:rich>
      </c:tx>
      <c:layout>
        <c:manualLayout>
          <c:xMode val="edge"/>
          <c:yMode val="edge"/>
          <c:x val="0.15656633224599864"/>
          <c:y val="4.1055850748694361E-2"/>
        </c:manualLayout>
      </c:layout>
      <c:overlay val="0"/>
    </c:title>
    <c:autoTitleDeleted val="0"/>
    <c:plotArea>
      <c:layout>
        <c:manualLayout>
          <c:layoutTarget val="inner"/>
          <c:xMode val="edge"/>
          <c:yMode val="edge"/>
          <c:x val="0.1057972779175799"/>
          <c:y val="0.24340254372440226"/>
          <c:w val="0.85380268188125974"/>
          <c:h val="0.47214191701110675"/>
        </c:manualLayout>
      </c:layout>
      <c:lineChart>
        <c:grouping val="standard"/>
        <c:varyColors val="0"/>
        <c:ser>
          <c:idx val="0"/>
          <c:order val="0"/>
          <c:tx>
            <c:v>SELAI</c:v>
          </c:tx>
          <c:cat>
            <c:numRef>
              <c:f>'1996 alfalfa graphing'!$B$99:$H$99</c:f>
              <c:numCache>
                <c:formatCode>General</c:formatCode>
                <c:ptCount val="7"/>
                <c:pt idx="0">
                  <c:v>108</c:v>
                </c:pt>
                <c:pt idx="1">
                  <c:v>122</c:v>
                </c:pt>
                <c:pt idx="2">
                  <c:v>141</c:v>
                </c:pt>
                <c:pt idx="3">
                  <c:v>158</c:v>
                </c:pt>
                <c:pt idx="4">
                  <c:v>172</c:v>
                </c:pt>
                <c:pt idx="5">
                  <c:v>183</c:v>
                </c:pt>
                <c:pt idx="6">
                  <c:v>207</c:v>
                </c:pt>
              </c:numCache>
            </c:numRef>
          </c:cat>
          <c:val>
            <c:numRef>
              <c:f>'1996 alfalfa graphing'!$B$100:$H$100</c:f>
              <c:numCache>
                <c:formatCode>General</c:formatCode>
                <c:ptCount val="7"/>
                <c:pt idx="0">
                  <c:v>3.94</c:v>
                </c:pt>
                <c:pt idx="1">
                  <c:v>6.4</c:v>
                </c:pt>
                <c:pt idx="2">
                  <c:v>6.44</c:v>
                </c:pt>
                <c:pt idx="3">
                  <c:v>3.1</c:v>
                </c:pt>
                <c:pt idx="4">
                  <c:v>4.09</c:v>
                </c:pt>
                <c:pt idx="5">
                  <c:v>4.97</c:v>
                </c:pt>
                <c:pt idx="6">
                  <c:v>3.59</c:v>
                </c:pt>
              </c:numCache>
            </c:numRef>
          </c:val>
          <c:smooth val="0"/>
          <c:extLst>
            <c:ext xmlns:c16="http://schemas.microsoft.com/office/drawing/2014/chart" uri="{C3380CC4-5D6E-409C-BE32-E72D297353CC}">
              <c16:uniqueId val="{00000000-11AD-4873-932E-474F86F8B839}"/>
            </c:ext>
          </c:extLst>
        </c:ser>
        <c:ser>
          <c:idx val="1"/>
          <c:order val="1"/>
          <c:tx>
            <c:v>NELAI</c:v>
          </c:tx>
          <c:cat>
            <c:numRef>
              <c:f>'1996 alfalfa graphing'!$B$99:$H$99</c:f>
              <c:numCache>
                <c:formatCode>General</c:formatCode>
                <c:ptCount val="7"/>
                <c:pt idx="0">
                  <c:v>108</c:v>
                </c:pt>
                <c:pt idx="1">
                  <c:v>122</c:v>
                </c:pt>
                <c:pt idx="2">
                  <c:v>141</c:v>
                </c:pt>
                <c:pt idx="3">
                  <c:v>158</c:v>
                </c:pt>
                <c:pt idx="4">
                  <c:v>172</c:v>
                </c:pt>
                <c:pt idx="5">
                  <c:v>183</c:v>
                </c:pt>
                <c:pt idx="6">
                  <c:v>207</c:v>
                </c:pt>
              </c:numCache>
            </c:numRef>
          </c:cat>
          <c:val>
            <c:numRef>
              <c:f>'1996 alfalfa graphing'!$B$101:$H$101</c:f>
              <c:numCache>
                <c:formatCode>General</c:formatCode>
                <c:ptCount val="7"/>
                <c:pt idx="0">
                  <c:v>4.04</c:v>
                </c:pt>
                <c:pt idx="1">
                  <c:v>6.06</c:v>
                </c:pt>
                <c:pt idx="2">
                  <c:v>7.44</c:v>
                </c:pt>
                <c:pt idx="3">
                  <c:v>3.23</c:v>
                </c:pt>
                <c:pt idx="4">
                  <c:v>4.0999999999999996</c:v>
                </c:pt>
                <c:pt idx="5">
                  <c:v>4.18</c:v>
                </c:pt>
                <c:pt idx="6">
                  <c:v>3.33</c:v>
                </c:pt>
              </c:numCache>
            </c:numRef>
          </c:val>
          <c:smooth val="0"/>
          <c:extLst>
            <c:ext xmlns:c16="http://schemas.microsoft.com/office/drawing/2014/chart" uri="{C3380CC4-5D6E-409C-BE32-E72D297353CC}">
              <c16:uniqueId val="{00000001-11AD-4873-932E-474F86F8B839}"/>
            </c:ext>
          </c:extLst>
        </c:ser>
        <c:ser>
          <c:idx val="2"/>
          <c:order val="2"/>
          <c:marker>
            <c:symbol val="none"/>
          </c:marker>
          <c:cat>
            <c:numRef>
              <c:f>'1996 alfalfa graphing'!$B$99:$H$99</c:f>
              <c:numCache>
                <c:formatCode>General</c:formatCode>
                <c:ptCount val="7"/>
                <c:pt idx="0">
                  <c:v>108</c:v>
                </c:pt>
                <c:pt idx="1">
                  <c:v>122</c:v>
                </c:pt>
                <c:pt idx="2">
                  <c:v>141</c:v>
                </c:pt>
                <c:pt idx="3">
                  <c:v>158</c:v>
                </c:pt>
                <c:pt idx="4">
                  <c:v>172</c:v>
                </c:pt>
                <c:pt idx="5">
                  <c:v>183</c:v>
                </c:pt>
                <c:pt idx="6">
                  <c:v>207</c:v>
                </c:pt>
              </c:numCache>
            </c:numRef>
          </c:cat>
          <c:val>
            <c:numRef>
              <c:f>'1996 alfalfa graphing'!$B$102:$H$102</c:f>
              <c:numCache>
                <c:formatCode>General</c:formatCode>
                <c:ptCount val="7"/>
              </c:numCache>
            </c:numRef>
          </c:val>
          <c:smooth val="0"/>
          <c:extLst>
            <c:ext xmlns:c16="http://schemas.microsoft.com/office/drawing/2014/chart" uri="{C3380CC4-5D6E-409C-BE32-E72D297353CC}">
              <c16:uniqueId val="{00000002-11AD-4873-932E-474F86F8B839}"/>
            </c:ext>
          </c:extLst>
        </c:ser>
        <c:ser>
          <c:idx val="3"/>
          <c:order val="3"/>
          <c:tx>
            <c:v>SEHT</c:v>
          </c:tx>
          <c:cat>
            <c:numRef>
              <c:f>'1996 alfalfa graphing'!$B$99:$H$99</c:f>
              <c:numCache>
                <c:formatCode>General</c:formatCode>
                <c:ptCount val="7"/>
                <c:pt idx="0">
                  <c:v>108</c:v>
                </c:pt>
                <c:pt idx="1">
                  <c:v>122</c:v>
                </c:pt>
                <c:pt idx="2">
                  <c:v>141</c:v>
                </c:pt>
                <c:pt idx="3">
                  <c:v>158</c:v>
                </c:pt>
                <c:pt idx="4">
                  <c:v>172</c:v>
                </c:pt>
                <c:pt idx="5">
                  <c:v>183</c:v>
                </c:pt>
                <c:pt idx="6">
                  <c:v>207</c:v>
                </c:pt>
              </c:numCache>
            </c:numRef>
          </c:cat>
          <c:val>
            <c:numRef>
              <c:f>'1996 alfalfa graphing'!$B$103:$H$103</c:f>
              <c:numCache>
                <c:formatCode>General</c:formatCode>
                <c:ptCount val="7"/>
                <c:pt idx="0">
                  <c:v>20.399999999999999</c:v>
                </c:pt>
                <c:pt idx="1">
                  <c:v>37.6</c:v>
                </c:pt>
                <c:pt idx="2">
                  <c:v>64</c:v>
                </c:pt>
                <c:pt idx="3">
                  <c:v>28.2</c:v>
                </c:pt>
                <c:pt idx="4">
                  <c:v>64.099999999999994</c:v>
                </c:pt>
                <c:pt idx="5">
                  <c:v>70.2</c:v>
                </c:pt>
                <c:pt idx="6">
                  <c:v>40.5</c:v>
                </c:pt>
              </c:numCache>
            </c:numRef>
          </c:val>
          <c:smooth val="0"/>
          <c:extLst>
            <c:ext xmlns:c16="http://schemas.microsoft.com/office/drawing/2014/chart" uri="{C3380CC4-5D6E-409C-BE32-E72D297353CC}">
              <c16:uniqueId val="{00000003-11AD-4873-932E-474F86F8B839}"/>
            </c:ext>
          </c:extLst>
        </c:ser>
        <c:ser>
          <c:idx val="4"/>
          <c:order val="4"/>
          <c:tx>
            <c:v>NEHT</c:v>
          </c:tx>
          <c:cat>
            <c:numRef>
              <c:f>'1996 alfalfa graphing'!$B$99:$H$99</c:f>
              <c:numCache>
                <c:formatCode>General</c:formatCode>
                <c:ptCount val="7"/>
                <c:pt idx="0">
                  <c:v>108</c:v>
                </c:pt>
                <c:pt idx="1">
                  <c:v>122</c:v>
                </c:pt>
                <c:pt idx="2">
                  <c:v>141</c:v>
                </c:pt>
                <c:pt idx="3">
                  <c:v>158</c:v>
                </c:pt>
                <c:pt idx="4">
                  <c:v>172</c:v>
                </c:pt>
                <c:pt idx="5">
                  <c:v>183</c:v>
                </c:pt>
                <c:pt idx="6">
                  <c:v>207</c:v>
                </c:pt>
              </c:numCache>
            </c:numRef>
          </c:cat>
          <c:val>
            <c:numRef>
              <c:f>'1996 alfalfa graphing'!$B$104:$H$104</c:f>
              <c:numCache>
                <c:formatCode>General</c:formatCode>
                <c:ptCount val="7"/>
                <c:pt idx="0">
                  <c:v>21</c:v>
                </c:pt>
                <c:pt idx="1">
                  <c:v>39.5</c:v>
                </c:pt>
                <c:pt idx="2">
                  <c:v>65</c:v>
                </c:pt>
                <c:pt idx="3">
                  <c:v>32.299999999999997</c:v>
                </c:pt>
                <c:pt idx="4">
                  <c:v>64.099999999999994</c:v>
                </c:pt>
                <c:pt idx="5">
                  <c:v>72.7</c:v>
                </c:pt>
                <c:pt idx="6">
                  <c:v>41.2</c:v>
                </c:pt>
              </c:numCache>
            </c:numRef>
          </c:val>
          <c:smooth val="0"/>
          <c:extLst>
            <c:ext xmlns:c16="http://schemas.microsoft.com/office/drawing/2014/chart" uri="{C3380CC4-5D6E-409C-BE32-E72D297353CC}">
              <c16:uniqueId val="{00000004-11AD-4873-932E-474F86F8B839}"/>
            </c:ext>
          </c:extLst>
        </c:ser>
        <c:dLbls>
          <c:showLegendKey val="0"/>
          <c:showVal val="0"/>
          <c:showCatName val="0"/>
          <c:showSerName val="0"/>
          <c:showPercent val="0"/>
          <c:showBubbleSize val="0"/>
        </c:dLbls>
        <c:marker val="1"/>
        <c:smooth val="0"/>
        <c:axId val="1559891568"/>
        <c:axId val="1"/>
      </c:lineChart>
      <c:catAx>
        <c:axId val="1559891568"/>
        <c:scaling>
          <c:orientation val="minMax"/>
        </c:scaling>
        <c:delete val="0"/>
        <c:axPos val="b"/>
        <c:title>
          <c:tx>
            <c:rich>
              <a:bodyPr/>
              <a:lstStyle/>
              <a:p>
                <a:pPr>
                  <a:defRPr/>
                </a:pPr>
                <a:r>
                  <a:rPr lang="en-US"/>
                  <a:t>DAY OF YEAR</a:t>
                </a:r>
              </a:p>
            </c:rich>
          </c:tx>
          <c:layout>
            <c:manualLayout>
              <c:xMode val="edge"/>
              <c:yMode val="edge"/>
              <c:x val="0.43090135640261462"/>
              <c:y val="0.81231902463804928"/>
            </c:manualLayout>
          </c:layout>
          <c:overlay val="0"/>
        </c:title>
        <c:numFmt formatCode="General" sourceLinked="1"/>
        <c:majorTickMark val="cross"/>
        <c:minorTickMark val="none"/>
        <c:tickLblPos val="nextTo"/>
        <c:txPr>
          <a:bodyPr rot="0" vert="horz"/>
          <a:lstStyle/>
          <a:p>
            <a:pPr>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title>
          <c:tx>
            <c:rich>
              <a:bodyPr rot="-5400000" vert="horz"/>
              <a:lstStyle/>
              <a:p>
                <a:pPr>
                  <a:defRPr/>
                </a:pPr>
                <a:r>
                  <a:rPr lang="en-US"/>
                  <a:t>LAI</a:t>
                </a:r>
              </a:p>
            </c:rich>
          </c:tx>
          <c:layout>
            <c:manualLayout>
              <c:xMode val="edge"/>
              <c:yMode val="edge"/>
              <c:x val="1.7676843963257912E-2"/>
              <c:y val="0.34604217059613823"/>
            </c:manualLayout>
          </c:layout>
          <c:overlay val="0"/>
        </c:title>
        <c:numFmt formatCode="General" sourceLinked="1"/>
        <c:majorTickMark val="cross"/>
        <c:minorTickMark val="none"/>
        <c:tickLblPos val="nextTo"/>
        <c:txPr>
          <a:bodyPr rot="0" vert="horz"/>
          <a:lstStyle/>
          <a:p>
            <a:pPr>
              <a:defRPr/>
            </a:pPr>
            <a:endParaRPr lang="en-US"/>
          </a:p>
        </c:txPr>
        <c:crossAx val="1559891568"/>
        <c:crosses val="autoZero"/>
        <c:crossBetween val="between"/>
      </c:valAx>
    </c:plotArea>
    <c:legend>
      <c:legendPos val="r"/>
      <c:layout>
        <c:manualLayout>
          <c:xMode val="edge"/>
          <c:yMode val="edge"/>
          <c:x val="0.17171791278593396"/>
          <c:y val="0.8973633977570985"/>
          <c:w val="0.80050850519325101"/>
          <c:h val="7.6246719160104975E-2"/>
        </c:manualLayout>
      </c:layout>
      <c:overlay val="0"/>
    </c:legend>
    <c:plotVisOnly val="0"/>
    <c:dispBlanksAs val="gap"/>
    <c:showDLblsOverMax val="0"/>
  </c:chart>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FIELD &amp; LYSIMETER ALFALFA, ALL CUTS</a:t>
            </a:r>
          </a:p>
        </c:rich>
      </c:tx>
      <c:layout>
        <c:manualLayout>
          <c:xMode val="edge"/>
          <c:yMode val="edge"/>
          <c:x val="0.18711817576201034"/>
          <c:y val="1.937984496124031E-3"/>
        </c:manualLayout>
      </c:layout>
      <c:overlay val="0"/>
    </c:title>
    <c:autoTitleDeleted val="0"/>
    <c:plotArea>
      <c:layout>
        <c:manualLayout>
          <c:layoutTarget val="inner"/>
          <c:xMode val="edge"/>
          <c:yMode val="edge"/>
          <c:x val="0.1102860928791668"/>
          <c:y val="0.15116279069767441"/>
          <c:w val="0.78734897215517963"/>
          <c:h val="0.62209302325581395"/>
        </c:manualLayout>
      </c:layout>
      <c:scatterChart>
        <c:scatterStyle val="lineMarker"/>
        <c:varyColors val="0"/>
        <c:ser>
          <c:idx val="0"/>
          <c:order val="0"/>
          <c:tx>
            <c:v>LAI</c:v>
          </c:tx>
          <c:marker>
            <c:symbol val="none"/>
          </c:marker>
          <c:xVal>
            <c:numRef>
              <c:f>'1996 alfalfa graphing'!$AT$5:$AT$259</c:f>
              <c:numCache>
                <c:formatCode>General</c:formatCode>
                <c:ptCount val="255"/>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143</c:v>
                </c:pt>
                <c:pt idx="91">
                  <c:v>144</c:v>
                </c:pt>
                <c:pt idx="92">
                  <c:v>145</c:v>
                </c:pt>
                <c:pt idx="93">
                  <c:v>146</c:v>
                </c:pt>
                <c:pt idx="94">
                  <c:v>147</c:v>
                </c:pt>
                <c:pt idx="95">
                  <c:v>148</c:v>
                </c:pt>
                <c:pt idx="96">
                  <c:v>149</c:v>
                </c:pt>
                <c:pt idx="97">
                  <c:v>150</c:v>
                </c:pt>
                <c:pt idx="98">
                  <c:v>151</c:v>
                </c:pt>
                <c:pt idx="99">
                  <c:v>152</c:v>
                </c:pt>
                <c:pt idx="100">
                  <c:v>153</c:v>
                </c:pt>
                <c:pt idx="101">
                  <c:v>154</c:v>
                </c:pt>
                <c:pt idx="102">
                  <c:v>155</c:v>
                </c:pt>
                <c:pt idx="103">
                  <c:v>156</c:v>
                </c:pt>
                <c:pt idx="104">
                  <c:v>157</c:v>
                </c:pt>
                <c:pt idx="105">
                  <c:v>158</c:v>
                </c:pt>
                <c:pt idx="106">
                  <c:v>159</c:v>
                </c:pt>
                <c:pt idx="107">
                  <c:v>160</c:v>
                </c:pt>
                <c:pt idx="108">
                  <c:v>161</c:v>
                </c:pt>
                <c:pt idx="109">
                  <c:v>162</c:v>
                </c:pt>
                <c:pt idx="110">
                  <c:v>163</c:v>
                </c:pt>
                <c:pt idx="111">
                  <c:v>164</c:v>
                </c:pt>
                <c:pt idx="112">
                  <c:v>165</c:v>
                </c:pt>
                <c:pt idx="113">
                  <c:v>166</c:v>
                </c:pt>
                <c:pt idx="114">
                  <c:v>167</c:v>
                </c:pt>
                <c:pt idx="115">
                  <c:v>168</c:v>
                </c:pt>
                <c:pt idx="116">
                  <c:v>169</c:v>
                </c:pt>
                <c:pt idx="117">
                  <c:v>170</c:v>
                </c:pt>
                <c:pt idx="118">
                  <c:v>171</c:v>
                </c:pt>
                <c:pt idx="119">
                  <c:v>172</c:v>
                </c:pt>
                <c:pt idx="120">
                  <c:v>173</c:v>
                </c:pt>
                <c:pt idx="121">
                  <c:v>174</c:v>
                </c:pt>
                <c:pt idx="122">
                  <c:v>175</c:v>
                </c:pt>
                <c:pt idx="123">
                  <c:v>176</c:v>
                </c:pt>
                <c:pt idx="124">
                  <c:v>177</c:v>
                </c:pt>
                <c:pt idx="125">
                  <c:v>178</c:v>
                </c:pt>
                <c:pt idx="126">
                  <c:v>179</c:v>
                </c:pt>
                <c:pt idx="127">
                  <c:v>180</c:v>
                </c:pt>
                <c:pt idx="128">
                  <c:v>181</c:v>
                </c:pt>
                <c:pt idx="129">
                  <c:v>182</c:v>
                </c:pt>
                <c:pt idx="130">
                  <c:v>183</c:v>
                </c:pt>
                <c:pt idx="131">
                  <c:v>184</c:v>
                </c:pt>
                <c:pt idx="132">
                  <c:v>185</c:v>
                </c:pt>
                <c:pt idx="133">
                  <c:v>186</c:v>
                </c:pt>
                <c:pt idx="134">
                  <c:v>187</c:v>
                </c:pt>
                <c:pt idx="135">
                  <c:v>188</c:v>
                </c:pt>
                <c:pt idx="136">
                  <c:v>189</c:v>
                </c:pt>
                <c:pt idx="137">
                  <c:v>190</c:v>
                </c:pt>
                <c:pt idx="138">
                  <c:v>191</c:v>
                </c:pt>
                <c:pt idx="139">
                  <c:v>192</c:v>
                </c:pt>
                <c:pt idx="140">
                  <c:v>193</c:v>
                </c:pt>
                <c:pt idx="141">
                  <c:v>194</c:v>
                </c:pt>
                <c:pt idx="142">
                  <c:v>195</c:v>
                </c:pt>
                <c:pt idx="143">
                  <c:v>196</c:v>
                </c:pt>
                <c:pt idx="144">
                  <c:v>197</c:v>
                </c:pt>
                <c:pt idx="145">
                  <c:v>198</c:v>
                </c:pt>
                <c:pt idx="146">
                  <c:v>199</c:v>
                </c:pt>
                <c:pt idx="147">
                  <c:v>200</c:v>
                </c:pt>
                <c:pt idx="148">
                  <c:v>201</c:v>
                </c:pt>
                <c:pt idx="149">
                  <c:v>202</c:v>
                </c:pt>
                <c:pt idx="150">
                  <c:v>203</c:v>
                </c:pt>
                <c:pt idx="151">
                  <c:v>204</c:v>
                </c:pt>
                <c:pt idx="152">
                  <c:v>205</c:v>
                </c:pt>
                <c:pt idx="153">
                  <c:v>206</c:v>
                </c:pt>
                <c:pt idx="154">
                  <c:v>207</c:v>
                </c:pt>
                <c:pt idx="155">
                  <c:v>208</c:v>
                </c:pt>
                <c:pt idx="156">
                  <c:v>209</c:v>
                </c:pt>
                <c:pt idx="157">
                  <c:v>210</c:v>
                </c:pt>
                <c:pt idx="158">
                  <c:v>211</c:v>
                </c:pt>
                <c:pt idx="159">
                  <c:v>212</c:v>
                </c:pt>
                <c:pt idx="160">
                  <c:v>213</c:v>
                </c:pt>
                <c:pt idx="161">
                  <c:v>214</c:v>
                </c:pt>
                <c:pt idx="162">
                  <c:v>215</c:v>
                </c:pt>
                <c:pt idx="163">
                  <c:v>216</c:v>
                </c:pt>
                <c:pt idx="164">
                  <c:v>217</c:v>
                </c:pt>
                <c:pt idx="165">
                  <c:v>218</c:v>
                </c:pt>
                <c:pt idx="166">
                  <c:v>219</c:v>
                </c:pt>
                <c:pt idx="167">
                  <c:v>220</c:v>
                </c:pt>
                <c:pt idx="168">
                  <c:v>221</c:v>
                </c:pt>
                <c:pt idx="169">
                  <c:v>222</c:v>
                </c:pt>
                <c:pt idx="170">
                  <c:v>223</c:v>
                </c:pt>
                <c:pt idx="171">
                  <c:v>224</c:v>
                </c:pt>
                <c:pt idx="172">
                  <c:v>225</c:v>
                </c:pt>
                <c:pt idx="173">
                  <c:v>226</c:v>
                </c:pt>
                <c:pt idx="174">
                  <c:v>227</c:v>
                </c:pt>
                <c:pt idx="175">
                  <c:v>228</c:v>
                </c:pt>
                <c:pt idx="176">
                  <c:v>229</c:v>
                </c:pt>
                <c:pt idx="177">
                  <c:v>230</c:v>
                </c:pt>
                <c:pt idx="178">
                  <c:v>231</c:v>
                </c:pt>
                <c:pt idx="179">
                  <c:v>232</c:v>
                </c:pt>
                <c:pt idx="180">
                  <c:v>233</c:v>
                </c:pt>
                <c:pt idx="181">
                  <c:v>234</c:v>
                </c:pt>
                <c:pt idx="182">
                  <c:v>235</c:v>
                </c:pt>
                <c:pt idx="183">
                  <c:v>236</c:v>
                </c:pt>
                <c:pt idx="184">
                  <c:v>237</c:v>
                </c:pt>
                <c:pt idx="185">
                  <c:v>238</c:v>
                </c:pt>
                <c:pt idx="186">
                  <c:v>239</c:v>
                </c:pt>
                <c:pt idx="187">
                  <c:v>240</c:v>
                </c:pt>
                <c:pt idx="188">
                  <c:v>241</c:v>
                </c:pt>
                <c:pt idx="189">
                  <c:v>242</c:v>
                </c:pt>
                <c:pt idx="190">
                  <c:v>243</c:v>
                </c:pt>
                <c:pt idx="191">
                  <c:v>244</c:v>
                </c:pt>
                <c:pt idx="192">
                  <c:v>245</c:v>
                </c:pt>
                <c:pt idx="193">
                  <c:v>246</c:v>
                </c:pt>
                <c:pt idx="194">
                  <c:v>247</c:v>
                </c:pt>
                <c:pt idx="195">
                  <c:v>248</c:v>
                </c:pt>
                <c:pt idx="196">
                  <c:v>249</c:v>
                </c:pt>
                <c:pt idx="197">
                  <c:v>250</c:v>
                </c:pt>
                <c:pt idx="198">
                  <c:v>251</c:v>
                </c:pt>
                <c:pt idx="199">
                  <c:v>252</c:v>
                </c:pt>
                <c:pt idx="200">
                  <c:v>253</c:v>
                </c:pt>
                <c:pt idx="201">
                  <c:v>254</c:v>
                </c:pt>
                <c:pt idx="202">
                  <c:v>255</c:v>
                </c:pt>
                <c:pt idx="203">
                  <c:v>256</c:v>
                </c:pt>
                <c:pt idx="204">
                  <c:v>257</c:v>
                </c:pt>
                <c:pt idx="205">
                  <c:v>258</c:v>
                </c:pt>
                <c:pt idx="206">
                  <c:v>259</c:v>
                </c:pt>
                <c:pt idx="207">
                  <c:v>260</c:v>
                </c:pt>
                <c:pt idx="208">
                  <c:v>261</c:v>
                </c:pt>
                <c:pt idx="209">
                  <c:v>262</c:v>
                </c:pt>
                <c:pt idx="210">
                  <c:v>263</c:v>
                </c:pt>
                <c:pt idx="211">
                  <c:v>264</c:v>
                </c:pt>
                <c:pt idx="212">
                  <c:v>265</c:v>
                </c:pt>
                <c:pt idx="213">
                  <c:v>266</c:v>
                </c:pt>
                <c:pt idx="214">
                  <c:v>267</c:v>
                </c:pt>
                <c:pt idx="215">
                  <c:v>268</c:v>
                </c:pt>
                <c:pt idx="216">
                  <c:v>269</c:v>
                </c:pt>
                <c:pt idx="217">
                  <c:v>270</c:v>
                </c:pt>
                <c:pt idx="218">
                  <c:v>271</c:v>
                </c:pt>
                <c:pt idx="219">
                  <c:v>272</c:v>
                </c:pt>
                <c:pt idx="220">
                  <c:v>273</c:v>
                </c:pt>
                <c:pt idx="221">
                  <c:v>274</c:v>
                </c:pt>
                <c:pt idx="222">
                  <c:v>275</c:v>
                </c:pt>
                <c:pt idx="223">
                  <c:v>276</c:v>
                </c:pt>
                <c:pt idx="224">
                  <c:v>277</c:v>
                </c:pt>
                <c:pt idx="225">
                  <c:v>278</c:v>
                </c:pt>
                <c:pt idx="226">
                  <c:v>279</c:v>
                </c:pt>
                <c:pt idx="227">
                  <c:v>280</c:v>
                </c:pt>
                <c:pt idx="228">
                  <c:v>281</c:v>
                </c:pt>
                <c:pt idx="229">
                  <c:v>282</c:v>
                </c:pt>
                <c:pt idx="230">
                  <c:v>283</c:v>
                </c:pt>
                <c:pt idx="231">
                  <c:v>284</c:v>
                </c:pt>
                <c:pt idx="232">
                  <c:v>285</c:v>
                </c:pt>
                <c:pt idx="233">
                  <c:v>286</c:v>
                </c:pt>
                <c:pt idx="234">
                  <c:v>287</c:v>
                </c:pt>
                <c:pt idx="235">
                  <c:v>53</c:v>
                </c:pt>
                <c:pt idx="236">
                  <c:v>108</c:v>
                </c:pt>
                <c:pt idx="237">
                  <c:v>122</c:v>
                </c:pt>
                <c:pt idx="238">
                  <c:v>141</c:v>
                </c:pt>
                <c:pt idx="239">
                  <c:v>142</c:v>
                </c:pt>
                <c:pt idx="240">
                  <c:v>142</c:v>
                </c:pt>
                <c:pt idx="241">
                  <c:v>158</c:v>
                </c:pt>
                <c:pt idx="242">
                  <c:v>172</c:v>
                </c:pt>
                <c:pt idx="243">
                  <c:v>183</c:v>
                </c:pt>
                <c:pt idx="244">
                  <c:v>190</c:v>
                </c:pt>
                <c:pt idx="245">
                  <c:v>190</c:v>
                </c:pt>
                <c:pt idx="246">
                  <c:v>207</c:v>
                </c:pt>
                <c:pt idx="247">
                  <c:v>218</c:v>
                </c:pt>
                <c:pt idx="248">
                  <c:v>227</c:v>
                </c:pt>
                <c:pt idx="249">
                  <c:v>228</c:v>
                </c:pt>
                <c:pt idx="250">
                  <c:v>228</c:v>
                </c:pt>
                <c:pt idx="251">
                  <c:v>247</c:v>
                </c:pt>
                <c:pt idx="252">
                  <c:v>262</c:v>
                </c:pt>
                <c:pt idx="253">
                  <c:v>281</c:v>
                </c:pt>
                <c:pt idx="254">
                  <c:v>281</c:v>
                </c:pt>
              </c:numCache>
            </c:numRef>
          </c:xVal>
          <c:yVal>
            <c:numRef>
              <c:f>'1996 alfalfa graphing'!$AU$5:$AU$259</c:f>
              <c:numCache>
                <c:formatCode>General</c:formatCode>
                <c:ptCount val="255"/>
                <c:pt idx="0">
                  <c:v>0</c:v>
                </c:pt>
                <c:pt idx="1">
                  <c:v>1.285823E-2</c:v>
                </c:pt>
                <c:pt idx="2">
                  <c:v>2.4322839999999998E-2</c:v>
                </c:pt>
                <c:pt idx="3">
                  <c:v>3.4598980000000001E-2</c:v>
                </c:pt>
                <c:pt idx="4">
                  <c:v>4.3892960000000002E-2</c:v>
                </c:pt>
                <c:pt idx="5">
                  <c:v>5.2411079999999999E-2</c:v>
                </c:pt>
                <c:pt idx="6">
                  <c:v>6.0359650000000001E-2</c:v>
                </c:pt>
                <c:pt idx="7">
                  <c:v>6.7944980000000002E-2</c:v>
                </c:pt>
                <c:pt idx="8">
                  <c:v>7.5373369999999995E-2</c:v>
                </c:pt>
                <c:pt idx="9">
                  <c:v>8.2851140000000004E-2</c:v>
                </c:pt>
                <c:pt idx="10">
                  <c:v>9.0584590000000006E-2</c:v>
                </c:pt>
                <c:pt idx="11">
                  <c:v>9.8780019999999996E-2</c:v>
                </c:pt>
                <c:pt idx="12">
                  <c:v>0.1076438</c:v>
                </c:pt>
                <c:pt idx="13">
                  <c:v>0.1173821</c:v>
                </c:pt>
                <c:pt idx="14">
                  <c:v>0.12820129999999999</c:v>
                </c:pt>
                <c:pt idx="15">
                  <c:v>0.14030780000000001</c:v>
                </c:pt>
                <c:pt idx="16">
                  <c:v>0.15390780000000001</c:v>
                </c:pt>
                <c:pt idx="17">
                  <c:v>0.16920760000000001</c:v>
                </c:pt>
                <c:pt idx="18">
                  <c:v>0.18641350000000001</c:v>
                </c:pt>
                <c:pt idx="19">
                  <c:v>0.2057319</c:v>
                </c:pt>
                <c:pt idx="20">
                  <c:v>0.22736899999999999</c:v>
                </c:pt>
                <c:pt idx="21">
                  <c:v>0.25153120000000001</c:v>
                </c:pt>
                <c:pt idx="22">
                  <c:v>0.27842479999999997</c:v>
                </c:pt>
                <c:pt idx="23">
                  <c:v>0.30825609999999998</c:v>
                </c:pt>
                <c:pt idx="24">
                  <c:v>0.34123130000000002</c:v>
                </c:pt>
                <c:pt idx="25">
                  <c:v>0.37755680000000003</c:v>
                </c:pt>
                <c:pt idx="26">
                  <c:v>0.4174389</c:v>
                </c:pt>
                <c:pt idx="27">
                  <c:v>0.46108389999999999</c:v>
                </c:pt>
                <c:pt idx="28">
                  <c:v>0.50869810000000004</c:v>
                </c:pt>
                <c:pt idx="29">
                  <c:v>0.56048790000000004</c:v>
                </c:pt>
                <c:pt idx="30">
                  <c:v>0.61665939999999997</c:v>
                </c:pt>
                <c:pt idx="31">
                  <c:v>0.67741910000000005</c:v>
                </c:pt>
                <c:pt idx="32">
                  <c:v>0.74297329999999995</c:v>
                </c:pt>
                <c:pt idx="33">
                  <c:v>0.81352809999999998</c:v>
                </c:pt>
                <c:pt idx="34">
                  <c:v>0.88929000000000002</c:v>
                </c:pt>
                <c:pt idx="35">
                  <c:v>0.97046540000000003</c:v>
                </c:pt>
                <c:pt idx="36">
                  <c:v>1.0572600000000001</c:v>
                </c:pt>
                <c:pt idx="37">
                  <c:v>1.1498809999999999</c:v>
                </c:pt>
                <c:pt idx="38">
                  <c:v>1.248534</c:v>
                </c:pt>
                <c:pt idx="39">
                  <c:v>1.353426</c:v>
                </c:pt>
                <c:pt idx="40">
                  <c:v>1.464763</c:v>
                </c:pt>
                <c:pt idx="41">
                  <c:v>1.582751</c:v>
                </c:pt>
                <c:pt idx="42">
                  <c:v>1.7075959999999999</c:v>
                </c:pt>
                <c:pt idx="43">
                  <c:v>1.8395049999999999</c:v>
                </c:pt>
                <c:pt idx="44">
                  <c:v>1.978685</c:v>
                </c:pt>
                <c:pt idx="45">
                  <c:v>2.1253410000000001</c:v>
                </c:pt>
                <c:pt idx="46">
                  <c:v>2.2796789999999998</c:v>
                </c:pt>
                <c:pt idx="47">
                  <c:v>2.441907</c:v>
                </c:pt>
                <c:pt idx="48">
                  <c:v>2.6122299999999998</c:v>
                </c:pt>
                <c:pt idx="49">
                  <c:v>2.7908539999999999</c:v>
                </c:pt>
                <c:pt idx="50">
                  <c:v>2.9779870000000002</c:v>
                </c:pt>
                <c:pt idx="51">
                  <c:v>3.173397</c:v>
                </c:pt>
                <c:pt idx="52">
                  <c:v>3.375035</c:v>
                </c:pt>
                <c:pt idx="53">
                  <c:v>3.580435</c:v>
                </c:pt>
                <c:pt idx="54">
                  <c:v>3.787121</c:v>
                </c:pt>
                <c:pt idx="55">
                  <c:v>3.9926179999999998</c:v>
                </c:pt>
                <c:pt idx="56">
                  <c:v>4.1944480000000004</c:v>
                </c:pt>
                <c:pt idx="57">
                  <c:v>4.3905320000000003</c:v>
                </c:pt>
                <c:pt idx="58">
                  <c:v>4.5803859999999998</c:v>
                </c:pt>
                <c:pt idx="59">
                  <c:v>4.7639189999999996</c:v>
                </c:pt>
                <c:pt idx="60">
                  <c:v>4.9410429999999996</c:v>
                </c:pt>
                <c:pt idx="61">
                  <c:v>5.1116669999999997</c:v>
                </c:pt>
                <c:pt idx="62">
                  <c:v>5.275703</c:v>
                </c:pt>
                <c:pt idx="63">
                  <c:v>5.4330610000000004</c:v>
                </c:pt>
                <c:pt idx="64">
                  <c:v>5.583653</c:v>
                </c:pt>
                <c:pt idx="65">
                  <c:v>5.7273889999999996</c:v>
                </c:pt>
                <c:pt idx="66">
                  <c:v>5.8641800000000002</c:v>
                </c:pt>
                <c:pt idx="67">
                  <c:v>5.9939359999999997</c:v>
                </c:pt>
                <c:pt idx="68">
                  <c:v>6.1165700000000003</c:v>
                </c:pt>
                <c:pt idx="69">
                  <c:v>6.2319899999999997</c:v>
                </c:pt>
                <c:pt idx="70">
                  <c:v>6.3401079999999999</c:v>
                </c:pt>
                <c:pt idx="71">
                  <c:v>6.440836</c:v>
                </c:pt>
                <c:pt idx="72">
                  <c:v>6.534084</c:v>
                </c:pt>
                <c:pt idx="73">
                  <c:v>6.6197619999999997</c:v>
                </c:pt>
                <c:pt idx="74">
                  <c:v>6.6977820000000001</c:v>
                </c:pt>
                <c:pt idx="75">
                  <c:v>6.7680530000000001</c:v>
                </c:pt>
                <c:pt idx="76">
                  <c:v>6.8304879999999999</c:v>
                </c:pt>
                <c:pt idx="77">
                  <c:v>6.8849960000000001</c:v>
                </c:pt>
                <c:pt idx="78">
                  <c:v>6.931489</c:v>
                </c:pt>
                <c:pt idx="79">
                  <c:v>6.9698779999999996</c:v>
                </c:pt>
                <c:pt idx="80">
                  <c:v>7.0000730000000004</c:v>
                </c:pt>
                <c:pt idx="81">
                  <c:v>7.0219849999999999</c:v>
                </c:pt>
                <c:pt idx="82">
                  <c:v>7.0355249999999998</c:v>
                </c:pt>
                <c:pt idx="83">
                  <c:v>7.0406040000000001</c:v>
                </c:pt>
                <c:pt idx="84">
                  <c:v>7.0371319999999997</c:v>
                </c:pt>
                <c:pt idx="85">
                  <c:v>7.0250199999999996</c:v>
                </c:pt>
                <c:pt idx="86">
                  <c:v>7.0041789999999997</c:v>
                </c:pt>
                <c:pt idx="87">
                  <c:v>6.9745210000000002</c:v>
                </c:pt>
                <c:pt idx="88">
                  <c:v>6.9359549999999999</c:v>
                </c:pt>
                <c:pt idx="89">
                  <c:v>0</c:v>
                </c:pt>
                <c:pt idx="90">
                  <c:v>0.1688103</c:v>
                </c:pt>
                <c:pt idx="91">
                  <c:v>0.35187889999999999</c:v>
                </c:pt>
                <c:pt idx="92">
                  <c:v>0.54697629999999997</c:v>
                </c:pt>
                <c:pt idx="93">
                  <c:v>0.75187079999999995</c:v>
                </c:pt>
                <c:pt idx="94">
                  <c:v>0.96433069999999999</c:v>
                </c:pt>
                <c:pt idx="95">
                  <c:v>1.1821250000000001</c:v>
                </c:pt>
                <c:pt idx="96">
                  <c:v>1.4030210000000001</c:v>
                </c:pt>
                <c:pt idx="97">
                  <c:v>1.6247879999999999</c:v>
                </c:pt>
                <c:pt idx="98">
                  <c:v>1.8451930000000001</c:v>
                </c:pt>
                <c:pt idx="99">
                  <c:v>2.0620059999999998</c:v>
                </c:pt>
                <c:pt idx="100">
                  <c:v>2.2729949999999999</c:v>
                </c:pt>
                <c:pt idx="101">
                  <c:v>2.4759289999999998</c:v>
                </c:pt>
                <c:pt idx="102">
                  <c:v>2.668574</c:v>
                </c:pt>
                <c:pt idx="103">
                  <c:v>2.8487010000000001</c:v>
                </c:pt>
                <c:pt idx="104">
                  <c:v>3.0140769999999999</c:v>
                </c:pt>
                <c:pt idx="105">
                  <c:v>3.16303</c:v>
                </c:pt>
                <c:pt idx="106">
                  <c:v>3.2961239999999998</c:v>
                </c:pt>
                <c:pt idx="107">
                  <c:v>3.4144830000000002</c:v>
                </c:pt>
                <c:pt idx="108">
                  <c:v>3.5192299999999999</c:v>
                </c:pt>
                <c:pt idx="109">
                  <c:v>3.6114890000000002</c:v>
                </c:pt>
                <c:pt idx="110">
                  <c:v>3.692383</c:v>
                </c:pt>
                <c:pt idx="111">
                  <c:v>3.763036</c:v>
                </c:pt>
                <c:pt idx="112">
                  <c:v>3.8245719999999999</c:v>
                </c:pt>
                <c:pt idx="113">
                  <c:v>3.8781140000000001</c:v>
                </c:pt>
                <c:pt idx="114">
                  <c:v>3.9247860000000001</c:v>
                </c:pt>
                <c:pt idx="115">
                  <c:v>3.9657100000000001</c:v>
                </c:pt>
                <c:pt idx="116">
                  <c:v>4.0020119999999997</c:v>
                </c:pt>
                <c:pt idx="117">
                  <c:v>4.0348129999999998</c:v>
                </c:pt>
                <c:pt idx="118">
                  <c:v>4.065239</c:v>
                </c:pt>
                <c:pt idx="119">
                  <c:v>4.0944120000000002</c:v>
                </c:pt>
                <c:pt idx="120">
                  <c:v>4.1377644313027266</c:v>
                </c:pt>
                <c:pt idx="121">
                  <c:v>4.1811168626054531</c:v>
                </c:pt>
                <c:pt idx="122">
                  <c:v>4.2244692939081796</c:v>
                </c:pt>
                <c:pt idx="123">
                  <c:v>4.2678217252109061</c:v>
                </c:pt>
                <c:pt idx="124">
                  <c:v>4.3111741565136326</c:v>
                </c:pt>
                <c:pt idx="125">
                  <c:v>4.354526587816359</c:v>
                </c:pt>
                <c:pt idx="126">
                  <c:v>4.3978790191190855</c:v>
                </c:pt>
                <c:pt idx="127">
                  <c:v>4.441231450421812</c:v>
                </c:pt>
                <c:pt idx="128">
                  <c:v>4.4845838817245385</c:v>
                </c:pt>
                <c:pt idx="129">
                  <c:v>4.527936313027265</c:v>
                </c:pt>
                <c:pt idx="130">
                  <c:v>4.5712887443299897</c:v>
                </c:pt>
                <c:pt idx="131">
                  <c:v>4.5712887443299897</c:v>
                </c:pt>
                <c:pt idx="132">
                  <c:v>4.5712887443299897</c:v>
                </c:pt>
                <c:pt idx="133">
                  <c:v>4.5712887443299897</c:v>
                </c:pt>
                <c:pt idx="134">
                  <c:v>4.5712887443299897</c:v>
                </c:pt>
                <c:pt idx="135">
                  <c:v>4.5712887443299897</c:v>
                </c:pt>
                <c:pt idx="136">
                  <c:v>4.5712887443299897</c:v>
                </c:pt>
                <c:pt idx="137">
                  <c:v>0</c:v>
                </c:pt>
                <c:pt idx="138">
                  <c:v>0.13300419999999999</c:v>
                </c:pt>
                <c:pt idx="139">
                  <c:v>0.27930090000000002</c:v>
                </c:pt>
                <c:pt idx="140">
                  <c:v>0.4380116</c:v>
                </c:pt>
                <c:pt idx="141">
                  <c:v>0.60825680000000004</c:v>
                </c:pt>
                <c:pt idx="142">
                  <c:v>0.78915690000000005</c:v>
                </c:pt>
                <c:pt idx="143">
                  <c:v>0.9798325</c:v>
                </c:pt>
                <c:pt idx="144">
                  <c:v>1.1794039999999999</c:v>
                </c:pt>
                <c:pt idx="145">
                  <c:v>1.386992</c:v>
                </c:pt>
                <c:pt idx="146">
                  <c:v>1.6017159999999999</c:v>
                </c:pt>
                <c:pt idx="147">
                  <c:v>1.8226979999999999</c:v>
                </c:pt>
                <c:pt idx="148">
                  <c:v>2.0490569999999999</c:v>
                </c:pt>
                <c:pt idx="149">
                  <c:v>2.2799149999999999</c:v>
                </c:pt>
                <c:pt idx="150">
                  <c:v>2.514392</c:v>
                </c:pt>
                <c:pt idx="151">
                  <c:v>2.7516069999999999</c:v>
                </c:pt>
                <c:pt idx="152">
                  <c:v>2.9901779999999998</c:v>
                </c:pt>
                <c:pt idx="153">
                  <c:v>3.2272249999999998</c:v>
                </c:pt>
                <c:pt idx="154">
                  <c:v>3.4595940000000001</c:v>
                </c:pt>
                <c:pt idx="155">
                  <c:v>3.684129</c:v>
                </c:pt>
                <c:pt idx="156">
                  <c:v>3.897675</c:v>
                </c:pt>
                <c:pt idx="157">
                  <c:v>4.0970769999999996</c:v>
                </c:pt>
                <c:pt idx="158">
                  <c:v>4.2791800000000002</c:v>
                </c:pt>
                <c:pt idx="159">
                  <c:v>4.4408279999999998</c:v>
                </c:pt>
                <c:pt idx="160">
                  <c:v>4.5788659999999997</c:v>
                </c:pt>
                <c:pt idx="161">
                  <c:v>4.6901380000000001</c:v>
                </c:pt>
                <c:pt idx="162">
                  <c:v>4.77149</c:v>
                </c:pt>
                <c:pt idx="163">
                  <c:v>4.8207950000000004</c:v>
                </c:pt>
                <c:pt idx="164">
                  <c:v>4.8400299999999996</c:v>
                </c:pt>
                <c:pt idx="165">
                  <c:v>4.8322019999999997</c:v>
                </c:pt>
                <c:pt idx="166">
                  <c:v>4.8003210000000003</c:v>
                </c:pt>
                <c:pt idx="167">
                  <c:v>4.7473910000000004</c:v>
                </c:pt>
                <c:pt idx="168">
                  <c:v>4.6764210000000004</c:v>
                </c:pt>
                <c:pt idx="169">
                  <c:v>4.5904160000000003</c:v>
                </c:pt>
                <c:pt idx="170">
                  <c:v>4.4923840000000004</c:v>
                </c:pt>
                <c:pt idx="171">
                  <c:v>4.3853330000000001</c:v>
                </c:pt>
                <c:pt idx="172">
                  <c:v>4.2722680000000004</c:v>
                </c:pt>
                <c:pt idx="173">
                  <c:v>4.1561979999999998</c:v>
                </c:pt>
                <c:pt idx="174">
                  <c:v>0</c:v>
                </c:pt>
                <c:pt idx="175">
                  <c:v>0</c:v>
                </c:pt>
                <c:pt idx="176">
                  <c:v>0.21466640000000001</c:v>
                </c:pt>
                <c:pt idx="177">
                  <c:v>0.42436459999999998</c:v>
                </c:pt>
                <c:pt idx="178">
                  <c:v>0.63047059999999999</c:v>
                </c:pt>
                <c:pt idx="179">
                  <c:v>0.8343604</c:v>
                </c:pt>
                <c:pt idx="180">
                  <c:v>1.0374060000000001</c:v>
                </c:pt>
                <c:pt idx="181">
                  <c:v>1.240332</c:v>
                </c:pt>
                <c:pt idx="182">
                  <c:v>1.442415</c:v>
                </c:pt>
                <c:pt idx="183">
                  <c:v>1.6427339999999999</c:v>
                </c:pt>
                <c:pt idx="184">
                  <c:v>1.840371</c:v>
                </c:pt>
                <c:pt idx="185">
                  <c:v>2.0344060000000002</c:v>
                </c:pt>
                <c:pt idx="186">
                  <c:v>2.2239179999999998</c:v>
                </c:pt>
                <c:pt idx="187">
                  <c:v>2.4079899999999999</c:v>
                </c:pt>
                <c:pt idx="188">
                  <c:v>2.5857000000000001</c:v>
                </c:pt>
                <c:pt idx="189">
                  <c:v>2.7561300000000002</c:v>
                </c:pt>
                <c:pt idx="190">
                  <c:v>2.9183590000000001</c:v>
                </c:pt>
                <c:pt idx="191">
                  <c:v>3.071469</c:v>
                </c:pt>
                <c:pt idx="192">
                  <c:v>3.21454</c:v>
                </c:pt>
                <c:pt idx="193">
                  <c:v>3.3466520000000002</c:v>
                </c:pt>
                <c:pt idx="194">
                  <c:v>3.466885</c:v>
                </c:pt>
                <c:pt idx="195">
                  <c:v>3.5743209999999999</c:v>
                </c:pt>
                <c:pt idx="196">
                  <c:v>3.6682929999999998</c:v>
                </c:pt>
                <c:pt idx="197">
                  <c:v>3.7491590000000001</c:v>
                </c:pt>
                <c:pt idx="198">
                  <c:v>3.8175279999999998</c:v>
                </c:pt>
                <c:pt idx="199">
                  <c:v>3.874009</c:v>
                </c:pt>
                <c:pt idx="200">
                  <c:v>3.9192140000000002</c:v>
                </c:pt>
                <c:pt idx="201">
                  <c:v>3.9537529999999999</c:v>
                </c:pt>
                <c:pt idx="202">
                  <c:v>3.9782350000000002</c:v>
                </c:pt>
                <c:pt idx="203">
                  <c:v>3.993271</c:v>
                </c:pt>
                <c:pt idx="204">
                  <c:v>3.9994710000000002</c:v>
                </c:pt>
                <c:pt idx="205">
                  <c:v>3.9974460000000001</c:v>
                </c:pt>
                <c:pt idx="206">
                  <c:v>3.9878049999999998</c:v>
                </c:pt>
                <c:pt idx="207">
                  <c:v>3.9711590000000001</c:v>
                </c:pt>
                <c:pt idx="208">
                  <c:v>3.9481169999999999</c:v>
                </c:pt>
                <c:pt idx="209">
                  <c:v>3.9192909999999999</c:v>
                </c:pt>
                <c:pt idx="210">
                  <c:v>3.8852899999999999</c:v>
                </c:pt>
                <c:pt idx="211">
                  <c:v>3.8467250000000002</c:v>
                </c:pt>
                <c:pt idx="212">
                  <c:v>3.8042050000000001</c:v>
                </c:pt>
                <c:pt idx="213">
                  <c:v>3.7583410000000002</c:v>
                </c:pt>
                <c:pt idx="214">
                  <c:v>3.709743</c:v>
                </c:pt>
                <c:pt idx="215">
                  <c:v>3.6590220000000002</c:v>
                </c:pt>
                <c:pt idx="216">
                  <c:v>3.6067879999999999</c:v>
                </c:pt>
                <c:pt idx="217">
                  <c:v>3.5536500000000002</c:v>
                </c:pt>
                <c:pt idx="218">
                  <c:v>3.500219</c:v>
                </c:pt>
                <c:pt idx="219">
                  <c:v>3.4471050000000001</c:v>
                </c:pt>
                <c:pt idx="220">
                  <c:v>3.3949180000000001</c:v>
                </c:pt>
                <c:pt idx="221">
                  <c:v>3.3442690000000002</c:v>
                </c:pt>
                <c:pt idx="222">
                  <c:v>3.2957679999999998</c:v>
                </c:pt>
                <c:pt idx="223">
                  <c:v>3.2500249999999999</c:v>
                </c:pt>
                <c:pt idx="224">
                  <c:v>3.207649</c:v>
                </c:pt>
                <c:pt idx="225">
                  <c:v>3.1692529999999999</c:v>
                </c:pt>
                <c:pt idx="226">
                  <c:v>3.1354440000000001</c:v>
                </c:pt>
                <c:pt idx="227">
                  <c:v>3.1068349999999998</c:v>
                </c:pt>
                <c:pt idx="228">
                  <c:v>3.0840350000000001</c:v>
                </c:pt>
                <c:pt idx="229">
                  <c:v>3.0840350000000001</c:v>
                </c:pt>
                <c:pt idx="230">
                  <c:v>3.0840350000000001</c:v>
                </c:pt>
                <c:pt idx="231">
                  <c:v>3.0840350000000001</c:v>
                </c:pt>
                <c:pt idx="232">
                  <c:v>3.0840350000000001</c:v>
                </c:pt>
                <c:pt idx="233">
                  <c:v>3.0840350000000001</c:v>
                </c:pt>
                <c:pt idx="234">
                  <c:v>3.0840350000000001</c:v>
                </c:pt>
              </c:numCache>
            </c:numRef>
          </c:yVal>
          <c:smooth val="0"/>
          <c:extLst>
            <c:ext xmlns:c16="http://schemas.microsoft.com/office/drawing/2014/chart" uri="{C3380CC4-5D6E-409C-BE32-E72D297353CC}">
              <c16:uniqueId val="{00000000-BA73-42ED-A2EC-F0D530B8C99B}"/>
            </c:ext>
          </c:extLst>
        </c:ser>
        <c:ser>
          <c:idx val="2"/>
          <c:order val="2"/>
          <c:spPr>
            <a:ln w="19050">
              <a:noFill/>
            </a:ln>
          </c:spPr>
          <c:xVal>
            <c:numRef>
              <c:f>'1996 alfalfa graphing'!$AT$5:$AT$259</c:f>
              <c:numCache>
                <c:formatCode>General</c:formatCode>
                <c:ptCount val="255"/>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143</c:v>
                </c:pt>
                <c:pt idx="91">
                  <c:v>144</c:v>
                </c:pt>
                <c:pt idx="92">
                  <c:v>145</c:v>
                </c:pt>
                <c:pt idx="93">
                  <c:v>146</c:v>
                </c:pt>
                <c:pt idx="94">
                  <c:v>147</c:v>
                </c:pt>
                <c:pt idx="95">
                  <c:v>148</c:v>
                </c:pt>
                <c:pt idx="96">
                  <c:v>149</c:v>
                </c:pt>
                <c:pt idx="97">
                  <c:v>150</c:v>
                </c:pt>
                <c:pt idx="98">
                  <c:v>151</c:v>
                </c:pt>
                <c:pt idx="99">
                  <c:v>152</c:v>
                </c:pt>
                <c:pt idx="100">
                  <c:v>153</c:v>
                </c:pt>
                <c:pt idx="101">
                  <c:v>154</c:v>
                </c:pt>
                <c:pt idx="102">
                  <c:v>155</c:v>
                </c:pt>
                <c:pt idx="103">
                  <c:v>156</c:v>
                </c:pt>
                <c:pt idx="104">
                  <c:v>157</c:v>
                </c:pt>
                <c:pt idx="105">
                  <c:v>158</c:v>
                </c:pt>
                <c:pt idx="106">
                  <c:v>159</c:v>
                </c:pt>
                <c:pt idx="107">
                  <c:v>160</c:v>
                </c:pt>
                <c:pt idx="108">
                  <c:v>161</c:v>
                </c:pt>
                <c:pt idx="109">
                  <c:v>162</c:v>
                </c:pt>
                <c:pt idx="110">
                  <c:v>163</c:v>
                </c:pt>
                <c:pt idx="111">
                  <c:v>164</c:v>
                </c:pt>
                <c:pt idx="112">
                  <c:v>165</c:v>
                </c:pt>
                <c:pt idx="113">
                  <c:v>166</c:v>
                </c:pt>
                <c:pt idx="114">
                  <c:v>167</c:v>
                </c:pt>
                <c:pt idx="115">
                  <c:v>168</c:v>
                </c:pt>
                <c:pt idx="116">
                  <c:v>169</c:v>
                </c:pt>
                <c:pt idx="117">
                  <c:v>170</c:v>
                </c:pt>
                <c:pt idx="118">
                  <c:v>171</c:v>
                </c:pt>
                <c:pt idx="119">
                  <c:v>172</c:v>
                </c:pt>
                <c:pt idx="120">
                  <c:v>173</c:v>
                </c:pt>
                <c:pt idx="121">
                  <c:v>174</c:v>
                </c:pt>
                <c:pt idx="122">
                  <c:v>175</c:v>
                </c:pt>
                <c:pt idx="123">
                  <c:v>176</c:v>
                </c:pt>
                <c:pt idx="124">
                  <c:v>177</c:v>
                </c:pt>
                <c:pt idx="125">
                  <c:v>178</c:v>
                </c:pt>
                <c:pt idx="126">
                  <c:v>179</c:v>
                </c:pt>
                <c:pt idx="127">
                  <c:v>180</c:v>
                </c:pt>
                <c:pt idx="128">
                  <c:v>181</c:v>
                </c:pt>
                <c:pt idx="129">
                  <c:v>182</c:v>
                </c:pt>
                <c:pt idx="130">
                  <c:v>183</c:v>
                </c:pt>
                <c:pt idx="131">
                  <c:v>184</c:v>
                </c:pt>
                <c:pt idx="132">
                  <c:v>185</c:v>
                </c:pt>
                <c:pt idx="133">
                  <c:v>186</c:v>
                </c:pt>
                <c:pt idx="134">
                  <c:v>187</c:v>
                </c:pt>
                <c:pt idx="135">
                  <c:v>188</c:v>
                </c:pt>
                <c:pt idx="136">
                  <c:v>189</c:v>
                </c:pt>
                <c:pt idx="137">
                  <c:v>190</c:v>
                </c:pt>
                <c:pt idx="138">
                  <c:v>191</c:v>
                </c:pt>
                <c:pt idx="139">
                  <c:v>192</c:v>
                </c:pt>
                <c:pt idx="140">
                  <c:v>193</c:v>
                </c:pt>
                <c:pt idx="141">
                  <c:v>194</c:v>
                </c:pt>
                <c:pt idx="142">
                  <c:v>195</c:v>
                </c:pt>
                <c:pt idx="143">
                  <c:v>196</c:v>
                </c:pt>
                <c:pt idx="144">
                  <c:v>197</c:v>
                </c:pt>
                <c:pt idx="145">
                  <c:v>198</c:v>
                </c:pt>
                <c:pt idx="146">
                  <c:v>199</c:v>
                </c:pt>
                <c:pt idx="147">
                  <c:v>200</c:v>
                </c:pt>
                <c:pt idx="148">
                  <c:v>201</c:v>
                </c:pt>
                <c:pt idx="149">
                  <c:v>202</c:v>
                </c:pt>
                <c:pt idx="150">
                  <c:v>203</c:v>
                </c:pt>
                <c:pt idx="151">
                  <c:v>204</c:v>
                </c:pt>
                <c:pt idx="152">
                  <c:v>205</c:v>
                </c:pt>
                <c:pt idx="153">
                  <c:v>206</c:v>
                </c:pt>
                <c:pt idx="154">
                  <c:v>207</c:v>
                </c:pt>
                <c:pt idx="155">
                  <c:v>208</c:v>
                </c:pt>
                <c:pt idx="156">
                  <c:v>209</c:v>
                </c:pt>
                <c:pt idx="157">
                  <c:v>210</c:v>
                </c:pt>
                <c:pt idx="158">
                  <c:v>211</c:v>
                </c:pt>
                <c:pt idx="159">
                  <c:v>212</c:v>
                </c:pt>
                <c:pt idx="160">
                  <c:v>213</c:v>
                </c:pt>
                <c:pt idx="161">
                  <c:v>214</c:v>
                </c:pt>
                <c:pt idx="162">
                  <c:v>215</c:v>
                </c:pt>
                <c:pt idx="163">
                  <c:v>216</c:v>
                </c:pt>
                <c:pt idx="164">
                  <c:v>217</c:v>
                </c:pt>
                <c:pt idx="165">
                  <c:v>218</c:v>
                </c:pt>
                <c:pt idx="166">
                  <c:v>219</c:v>
                </c:pt>
                <c:pt idx="167">
                  <c:v>220</c:v>
                </c:pt>
                <c:pt idx="168">
                  <c:v>221</c:v>
                </c:pt>
                <c:pt idx="169">
                  <c:v>222</c:v>
                </c:pt>
                <c:pt idx="170">
                  <c:v>223</c:v>
                </c:pt>
                <c:pt idx="171">
                  <c:v>224</c:v>
                </c:pt>
                <c:pt idx="172">
                  <c:v>225</c:v>
                </c:pt>
                <c:pt idx="173">
                  <c:v>226</c:v>
                </c:pt>
                <c:pt idx="174">
                  <c:v>227</c:v>
                </c:pt>
                <c:pt idx="175">
                  <c:v>228</c:v>
                </c:pt>
                <c:pt idx="176">
                  <c:v>229</c:v>
                </c:pt>
                <c:pt idx="177">
                  <c:v>230</c:v>
                </c:pt>
                <c:pt idx="178">
                  <c:v>231</c:v>
                </c:pt>
                <c:pt idx="179">
                  <c:v>232</c:v>
                </c:pt>
                <c:pt idx="180">
                  <c:v>233</c:v>
                </c:pt>
                <c:pt idx="181">
                  <c:v>234</c:v>
                </c:pt>
                <c:pt idx="182">
                  <c:v>235</c:v>
                </c:pt>
                <c:pt idx="183">
                  <c:v>236</c:v>
                </c:pt>
                <c:pt idx="184">
                  <c:v>237</c:v>
                </c:pt>
                <c:pt idx="185">
                  <c:v>238</c:v>
                </c:pt>
                <c:pt idx="186">
                  <c:v>239</c:v>
                </c:pt>
                <c:pt idx="187">
                  <c:v>240</c:v>
                </c:pt>
                <c:pt idx="188">
                  <c:v>241</c:v>
                </c:pt>
                <c:pt idx="189">
                  <c:v>242</c:v>
                </c:pt>
                <c:pt idx="190">
                  <c:v>243</c:v>
                </c:pt>
                <c:pt idx="191">
                  <c:v>244</c:v>
                </c:pt>
                <c:pt idx="192">
                  <c:v>245</c:v>
                </c:pt>
                <c:pt idx="193">
                  <c:v>246</c:v>
                </c:pt>
                <c:pt idx="194">
                  <c:v>247</c:v>
                </c:pt>
                <c:pt idx="195">
                  <c:v>248</c:v>
                </c:pt>
                <c:pt idx="196">
                  <c:v>249</c:v>
                </c:pt>
                <c:pt idx="197">
                  <c:v>250</c:v>
                </c:pt>
                <c:pt idx="198">
                  <c:v>251</c:v>
                </c:pt>
                <c:pt idx="199">
                  <c:v>252</c:v>
                </c:pt>
                <c:pt idx="200">
                  <c:v>253</c:v>
                </c:pt>
                <c:pt idx="201">
                  <c:v>254</c:v>
                </c:pt>
                <c:pt idx="202">
                  <c:v>255</c:v>
                </c:pt>
                <c:pt idx="203">
                  <c:v>256</c:v>
                </c:pt>
                <c:pt idx="204">
                  <c:v>257</c:v>
                </c:pt>
                <c:pt idx="205">
                  <c:v>258</c:v>
                </c:pt>
                <c:pt idx="206">
                  <c:v>259</c:v>
                </c:pt>
                <c:pt idx="207">
                  <c:v>260</c:v>
                </c:pt>
                <c:pt idx="208">
                  <c:v>261</c:v>
                </c:pt>
                <c:pt idx="209">
                  <c:v>262</c:v>
                </c:pt>
                <c:pt idx="210">
                  <c:v>263</c:v>
                </c:pt>
                <c:pt idx="211">
                  <c:v>264</c:v>
                </c:pt>
                <c:pt idx="212">
                  <c:v>265</c:v>
                </c:pt>
                <c:pt idx="213">
                  <c:v>266</c:v>
                </c:pt>
                <c:pt idx="214">
                  <c:v>267</c:v>
                </c:pt>
                <c:pt idx="215">
                  <c:v>268</c:v>
                </c:pt>
                <c:pt idx="216">
                  <c:v>269</c:v>
                </c:pt>
                <c:pt idx="217">
                  <c:v>270</c:v>
                </c:pt>
                <c:pt idx="218">
                  <c:v>271</c:v>
                </c:pt>
                <c:pt idx="219">
                  <c:v>272</c:v>
                </c:pt>
                <c:pt idx="220">
                  <c:v>273</c:v>
                </c:pt>
                <c:pt idx="221">
                  <c:v>274</c:v>
                </c:pt>
                <c:pt idx="222">
                  <c:v>275</c:v>
                </c:pt>
                <c:pt idx="223">
                  <c:v>276</c:v>
                </c:pt>
                <c:pt idx="224">
                  <c:v>277</c:v>
                </c:pt>
                <c:pt idx="225">
                  <c:v>278</c:v>
                </c:pt>
                <c:pt idx="226">
                  <c:v>279</c:v>
                </c:pt>
                <c:pt idx="227">
                  <c:v>280</c:v>
                </c:pt>
                <c:pt idx="228">
                  <c:v>281</c:v>
                </c:pt>
                <c:pt idx="229">
                  <c:v>282</c:v>
                </c:pt>
                <c:pt idx="230">
                  <c:v>283</c:v>
                </c:pt>
                <c:pt idx="231">
                  <c:v>284</c:v>
                </c:pt>
                <c:pt idx="232">
                  <c:v>285</c:v>
                </c:pt>
                <c:pt idx="233">
                  <c:v>286</c:v>
                </c:pt>
                <c:pt idx="234">
                  <c:v>287</c:v>
                </c:pt>
                <c:pt idx="235">
                  <c:v>53</c:v>
                </c:pt>
                <c:pt idx="236">
                  <c:v>108</c:v>
                </c:pt>
                <c:pt idx="237">
                  <c:v>122</c:v>
                </c:pt>
                <c:pt idx="238">
                  <c:v>141</c:v>
                </c:pt>
                <c:pt idx="239">
                  <c:v>142</c:v>
                </c:pt>
                <c:pt idx="240">
                  <c:v>142</c:v>
                </c:pt>
                <c:pt idx="241">
                  <c:v>158</c:v>
                </c:pt>
                <c:pt idx="242">
                  <c:v>172</c:v>
                </c:pt>
                <c:pt idx="243">
                  <c:v>183</c:v>
                </c:pt>
                <c:pt idx="244">
                  <c:v>190</c:v>
                </c:pt>
                <c:pt idx="245">
                  <c:v>190</c:v>
                </c:pt>
                <c:pt idx="246">
                  <c:v>207</c:v>
                </c:pt>
                <c:pt idx="247">
                  <c:v>218</c:v>
                </c:pt>
                <c:pt idx="248">
                  <c:v>227</c:v>
                </c:pt>
                <c:pt idx="249">
                  <c:v>228</c:v>
                </c:pt>
                <c:pt idx="250">
                  <c:v>228</c:v>
                </c:pt>
                <c:pt idx="251">
                  <c:v>247</c:v>
                </c:pt>
                <c:pt idx="252">
                  <c:v>262</c:v>
                </c:pt>
                <c:pt idx="253">
                  <c:v>281</c:v>
                </c:pt>
                <c:pt idx="254">
                  <c:v>281</c:v>
                </c:pt>
              </c:numCache>
            </c:numRef>
          </c:xVal>
          <c:yVal>
            <c:numRef>
              <c:f>'1996 alfalfa graphing'!$AW$5:$AW$259</c:f>
              <c:numCache>
                <c:formatCode>General</c:formatCode>
                <c:ptCount val="255"/>
                <c:pt idx="235">
                  <c:v>2</c:v>
                </c:pt>
                <c:pt idx="236">
                  <c:v>20.399999999999999</c:v>
                </c:pt>
                <c:pt idx="237">
                  <c:v>37.549999999999997</c:v>
                </c:pt>
                <c:pt idx="238">
                  <c:v>63.95</c:v>
                </c:pt>
                <c:pt idx="239">
                  <c:v>51</c:v>
                </c:pt>
                <c:pt idx="240">
                  <c:v>2</c:v>
                </c:pt>
                <c:pt idx="241">
                  <c:v>28.15</c:v>
                </c:pt>
                <c:pt idx="242">
                  <c:v>64.099999999999994</c:v>
                </c:pt>
                <c:pt idx="243">
                  <c:v>70.150000000000006</c:v>
                </c:pt>
                <c:pt idx="244">
                  <c:v>62</c:v>
                </c:pt>
                <c:pt idx="245">
                  <c:v>2</c:v>
                </c:pt>
                <c:pt idx="246">
                  <c:v>40.450000000000003</c:v>
                </c:pt>
                <c:pt idx="247">
                  <c:v>59.8</c:v>
                </c:pt>
                <c:pt idx="248">
                  <c:v>48.45</c:v>
                </c:pt>
                <c:pt idx="249">
                  <c:v>44.2</c:v>
                </c:pt>
                <c:pt idx="250">
                  <c:v>2</c:v>
                </c:pt>
                <c:pt idx="251">
                  <c:v>37.5</c:v>
                </c:pt>
                <c:pt idx="252">
                  <c:v>51.6</c:v>
                </c:pt>
                <c:pt idx="253">
                  <c:v>53.55</c:v>
                </c:pt>
                <c:pt idx="254">
                  <c:v>55.8</c:v>
                </c:pt>
              </c:numCache>
            </c:numRef>
          </c:yVal>
          <c:smooth val="0"/>
          <c:extLst>
            <c:ext xmlns:c16="http://schemas.microsoft.com/office/drawing/2014/chart" uri="{C3380CC4-5D6E-409C-BE32-E72D297353CC}">
              <c16:uniqueId val="{00000002-BA73-42ED-A2EC-F0D530B8C99B}"/>
            </c:ext>
          </c:extLst>
        </c:ser>
        <c:ser>
          <c:idx val="4"/>
          <c:order val="4"/>
          <c:spPr>
            <a:ln w="19050">
              <a:noFill/>
            </a:ln>
          </c:spPr>
          <c:xVal>
            <c:numRef>
              <c:f>'1996 alfalfa graphing'!$AT$5:$AT$259</c:f>
              <c:numCache>
                <c:formatCode>General</c:formatCode>
                <c:ptCount val="255"/>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143</c:v>
                </c:pt>
                <c:pt idx="91">
                  <c:v>144</c:v>
                </c:pt>
                <c:pt idx="92">
                  <c:v>145</c:v>
                </c:pt>
                <c:pt idx="93">
                  <c:v>146</c:v>
                </c:pt>
                <c:pt idx="94">
                  <c:v>147</c:v>
                </c:pt>
                <c:pt idx="95">
                  <c:v>148</c:v>
                </c:pt>
                <c:pt idx="96">
                  <c:v>149</c:v>
                </c:pt>
                <c:pt idx="97">
                  <c:v>150</c:v>
                </c:pt>
                <c:pt idx="98">
                  <c:v>151</c:v>
                </c:pt>
                <c:pt idx="99">
                  <c:v>152</c:v>
                </c:pt>
                <c:pt idx="100">
                  <c:v>153</c:v>
                </c:pt>
                <c:pt idx="101">
                  <c:v>154</c:v>
                </c:pt>
                <c:pt idx="102">
                  <c:v>155</c:v>
                </c:pt>
                <c:pt idx="103">
                  <c:v>156</c:v>
                </c:pt>
                <c:pt idx="104">
                  <c:v>157</c:v>
                </c:pt>
                <c:pt idx="105">
                  <c:v>158</c:v>
                </c:pt>
                <c:pt idx="106">
                  <c:v>159</c:v>
                </c:pt>
                <c:pt idx="107">
                  <c:v>160</c:v>
                </c:pt>
                <c:pt idx="108">
                  <c:v>161</c:v>
                </c:pt>
                <c:pt idx="109">
                  <c:v>162</c:v>
                </c:pt>
                <c:pt idx="110">
                  <c:v>163</c:v>
                </c:pt>
                <c:pt idx="111">
                  <c:v>164</c:v>
                </c:pt>
                <c:pt idx="112">
                  <c:v>165</c:v>
                </c:pt>
                <c:pt idx="113">
                  <c:v>166</c:v>
                </c:pt>
                <c:pt idx="114">
                  <c:v>167</c:v>
                </c:pt>
                <c:pt idx="115">
                  <c:v>168</c:v>
                </c:pt>
                <c:pt idx="116">
                  <c:v>169</c:v>
                </c:pt>
                <c:pt idx="117">
                  <c:v>170</c:v>
                </c:pt>
                <c:pt idx="118">
                  <c:v>171</c:v>
                </c:pt>
                <c:pt idx="119">
                  <c:v>172</c:v>
                </c:pt>
                <c:pt idx="120">
                  <c:v>173</c:v>
                </c:pt>
                <c:pt idx="121">
                  <c:v>174</c:v>
                </c:pt>
                <c:pt idx="122">
                  <c:v>175</c:v>
                </c:pt>
                <c:pt idx="123">
                  <c:v>176</c:v>
                </c:pt>
                <c:pt idx="124">
                  <c:v>177</c:v>
                </c:pt>
                <c:pt idx="125">
                  <c:v>178</c:v>
                </c:pt>
                <c:pt idx="126">
                  <c:v>179</c:v>
                </c:pt>
                <c:pt idx="127">
                  <c:v>180</c:v>
                </c:pt>
                <c:pt idx="128">
                  <c:v>181</c:v>
                </c:pt>
                <c:pt idx="129">
                  <c:v>182</c:v>
                </c:pt>
                <c:pt idx="130">
                  <c:v>183</c:v>
                </c:pt>
                <c:pt idx="131">
                  <c:v>184</c:v>
                </c:pt>
                <c:pt idx="132">
                  <c:v>185</c:v>
                </c:pt>
                <c:pt idx="133">
                  <c:v>186</c:v>
                </c:pt>
                <c:pt idx="134">
                  <c:v>187</c:v>
                </c:pt>
                <c:pt idx="135">
                  <c:v>188</c:v>
                </c:pt>
                <c:pt idx="136">
                  <c:v>189</c:v>
                </c:pt>
                <c:pt idx="137">
                  <c:v>190</c:v>
                </c:pt>
                <c:pt idx="138">
                  <c:v>191</c:v>
                </c:pt>
                <c:pt idx="139">
                  <c:v>192</c:v>
                </c:pt>
                <c:pt idx="140">
                  <c:v>193</c:v>
                </c:pt>
                <c:pt idx="141">
                  <c:v>194</c:v>
                </c:pt>
                <c:pt idx="142">
                  <c:v>195</c:v>
                </c:pt>
                <c:pt idx="143">
                  <c:v>196</c:v>
                </c:pt>
                <c:pt idx="144">
                  <c:v>197</c:v>
                </c:pt>
                <c:pt idx="145">
                  <c:v>198</c:v>
                </c:pt>
                <c:pt idx="146">
                  <c:v>199</c:v>
                </c:pt>
                <c:pt idx="147">
                  <c:v>200</c:v>
                </c:pt>
                <c:pt idx="148">
                  <c:v>201</c:v>
                </c:pt>
                <c:pt idx="149">
                  <c:v>202</c:v>
                </c:pt>
                <c:pt idx="150">
                  <c:v>203</c:v>
                </c:pt>
                <c:pt idx="151">
                  <c:v>204</c:v>
                </c:pt>
                <c:pt idx="152">
                  <c:v>205</c:v>
                </c:pt>
                <c:pt idx="153">
                  <c:v>206</c:v>
                </c:pt>
                <c:pt idx="154">
                  <c:v>207</c:v>
                </c:pt>
                <c:pt idx="155">
                  <c:v>208</c:v>
                </c:pt>
                <c:pt idx="156">
                  <c:v>209</c:v>
                </c:pt>
                <c:pt idx="157">
                  <c:v>210</c:v>
                </c:pt>
                <c:pt idx="158">
                  <c:v>211</c:v>
                </c:pt>
                <c:pt idx="159">
                  <c:v>212</c:v>
                </c:pt>
                <c:pt idx="160">
                  <c:v>213</c:v>
                </c:pt>
                <c:pt idx="161">
                  <c:v>214</c:v>
                </c:pt>
                <c:pt idx="162">
                  <c:v>215</c:v>
                </c:pt>
                <c:pt idx="163">
                  <c:v>216</c:v>
                </c:pt>
                <c:pt idx="164">
                  <c:v>217</c:v>
                </c:pt>
                <c:pt idx="165">
                  <c:v>218</c:v>
                </c:pt>
                <c:pt idx="166">
                  <c:v>219</c:v>
                </c:pt>
                <c:pt idx="167">
                  <c:v>220</c:v>
                </c:pt>
                <c:pt idx="168">
                  <c:v>221</c:v>
                </c:pt>
                <c:pt idx="169">
                  <c:v>222</c:v>
                </c:pt>
                <c:pt idx="170">
                  <c:v>223</c:v>
                </c:pt>
                <c:pt idx="171">
                  <c:v>224</c:v>
                </c:pt>
                <c:pt idx="172">
                  <c:v>225</c:v>
                </c:pt>
                <c:pt idx="173">
                  <c:v>226</c:v>
                </c:pt>
                <c:pt idx="174">
                  <c:v>227</c:v>
                </c:pt>
                <c:pt idx="175">
                  <c:v>228</c:v>
                </c:pt>
                <c:pt idx="176">
                  <c:v>229</c:v>
                </c:pt>
                <c:pt idx="177">
                  <c:v>230</c:v>
                </c:pt>
                <c:pt idx="178">
                  <c:v>231</c:v>
                </c:pt>
                <c:pt idx="179">
                  <c:v>232</c:v>
                </c:pt>
                <c:pt idx="180">
                  <c:v>233</c:v>
                </c:pt>
                <c:pt idx="181">
                  <c:v>234</c:v>
                </c:pt>
                <c:pt idx="182">
                  <c:v>235</c:v>
                </c:pt>
                <c:pt idx="183">
                  <c:v>236</c:v>
                </c:pt>
                <c:pt idx="184">
                  <c:v>237</c:v>
                </c:pt>
                <c:pt idx="185">
                  <c:v>238</c:v>
                </c:pt>
                <c:pt idx="186">
                  <c:v>239</c:v>
                </c:pt>
                <c:pt idx="187">
                  <c:v>240</c:v>
                </c:pt>
                <c:pt idx="188">
                  <c:v>241</c:v>
                </c:pt>
                <c:pt idx="189">
                  <c:v>242</c:v>
                </c:pt>
                <c:pt idx="190">
                  <c:v>243</c:v>
                </c:pt>
                <c:pt idx="191">
                  <c:v>244</c:v>
                </c:pt>
                <c:pt idx="192">
                  <c:v>245</c:v>
                </c:pt>
                <c:pt idx="193">
                  <c:v>246</c:v>
                </c:pt>
                <c:pt idx="194">
                  <c:v>247</c:v>
                </c:pt>
                <c:pt idx="195">
                  <c:v>248</c:v>
                </c:pt>
                <c:pt idx="196">
                  <c:v>249</c:v>
                </c:pt>
                <c:pt idx="197">
                  <c:v>250</c:v>
                </c:pt>
                <c:pt idx="198">
                  <c:v>251</c:v>
                </c:pt>
                <c:pt idx="199">
                  <c:v>252</c:v>
                </c:pt>
                <c:pt idx="200">
                  <c:v>253</c:v>
                </c:pt>
                <c:pt idx="201">
                  <c:v>254</c:v>
                </c:pt>
                <c:pt idx="202">
                  <c:v>255</c:v>
                </c:pt>
                <c:pt idx="203">
                  <c:v>256</c:v>
                </c:pt>
                <c:pt idx="204">
                  <c:v>257</c:v>
                </c:pt>
                <c:pt idx="205">
                  <c:v>258</c:v>
                </c:pt>
                <c:pt idx="206">
                  <c:v>259</c:v>
                </c:pt>
                <c:pt idx="207">
                  <c:v>260</c:v>
                </c:pt>
                <c:pt idx="208">
                  <c:v>261</c:v>
                </c:pt>
                <c:pt idx="209">
                  <c:v>262</c:v>
                </c:pt>
                <c:pt idx="210">
                  <c:v>263</c:v>
                </c:pt>
                <c:pt idx="211">
                  <c:v>264</c:v>
                </c:pt>
                <c:pt idx="212">
                  <c:v>265</c:v>
                </c:pt>
                <c:pt idx="213">
                  <c:v>266</c:v>
                </c:pt>
                <c:pt idx="214">
                  <c:v>267</c:v>
                </c:pt>
                <c:pt idx="215">
                  <c:v>268</c:v>
                </c:pt>
                <c:pt idx="216">
                  <c:v>269</c:v>
                </c:pt>
                <c:pt idx="217">
                  <c:v>270</c:v>
                </c:pt>
                <c:pt idx="218">
                  <c:v>271</c:v>
                </c:pt>
                <c:pt idx="219">
                  <c:v>272</c:v>
                </c:pt>
                <c:pt idx="220">
                  <c:v>273</c:v>
                </c:pt>
                <c:pt idx="221">
                  <c:v>274</c:v>
                </c:pt>
                <c:pt idx="222">
                  <c:v>275</c:v>
                </c:pt>
                <c:pt idx="223">
                  <c:v>276</c:v>
                </c:pt>
                <c:pt idx="224">
                  <c:v>277</c:v>
                </c:pt>
                <c:pt idx="225">
                  <c:v>278</c:v>
                </c:pt>
                <c:pt idx="226">
                  <c:v>279</c:v>
                </c:pt>
                <c:pt idx="227">
                  <c:v>280</c:v>
                </c:pt>
                <c:pt idx="228">
                  <c:v>281</c:v>
                </c:pt>
                <c:pt idx="229">
                  <c:v>282</c:v>
                </c:pt>
                <c:pt idx="230">
                  <c:v>283</c:v>
                </c:pt>
                <c:pt idx="231">
                  <c:v>284</c:v>
                </c:pt>
                <c:pt idx="232">
                  <c:v>285</c:v>
                </c:pt>
                <c:pt idx="233">
                  <c:v>286</c:v>
                </c:pt>
                <c:pt idx="234">
                  <c:v>287</c:v>
                </c:pt>
                <c:pt idx="235">
                  <c:v>53</c:v>
                </c:pt>
                <c:pt idx="236">
                  <c:v>108</c:v>
                </c:pt>
                <c:pt idx="237">
                  <c:v>122</c:v>
                </c:pt>
                <c:pt idx="238">
                  <c:v>141</c:v>
                </c:pt>
                <c:pt idx="239">
                  <c:v>142</c:v>
                </c:pt>
                <c:pt idx="240">
                  <c:v>142</c:v>
                </c:pt>
                <c:pt idx="241">
                  <c:v>158</c:v>
                </c:pt>
                <c:pt idx="242">
                  <c:v>172</c:v>
                </c:pt>
                <c:pt idx="243">
                  <c:v>183</c:v>
                </c:pt>
                <c:pt idx="244">
                  <c:v>190</c:v>
                </c:pt>
                <c:pt idx="245">
                  <c:v>190</c:v>
                </c:pt>
                <c:pt idx="246">
                  <c:v>207</c:v>
                </c:pt>
                <c:pt idx="247">
                  <c:v>218</c:v>
                </c:pt>
                <c:pt idx="248">
                  <c:v>227</c:v>
                </c:pt>
                <c:pt idx="249">
                  <c:v>228</c:v>
                </c:pt>
                <c:pt idx="250">
                  <c:v>228</c:v>
                </c:pt>
                <c:pt idx="251">
                  <c:v>247</c:v>
                </c:pt>
                <c:pt idx="252">
                  <c:v>262</c:v>
                </c:pt>
                <c:pt idx="253">
                  <c:v>281</c:v>
                </c:pt>
                <c:pt idx="254">
                  <c:v>281</c:v>
                </c:pt>
              </c:numCache>
            </c:numRef>
          </c:xVal>
          <c:yVal>
            <c:numRef>
              <c:f>'1996 alfalfa graphing'!$AX$5:$AX$259</c:f>
              <c:numCache>
                <c:formatCode>General</c:formatCode>
                <c:ptCount val="255"/>
                <c:pt idx="235">
                  <c:v>0</c:v>
                </c:pt>
                <c:pt idx="236">
                  <c:v>3.9434997869483848</c:v>
                </c:pt>
                <c:pt idx="237">
                  <c:v>6.4031237112534996</c:v>
                </c:pt>
                <c:pt idx="238">
                  <c:v>6.436128420051114</c:v>
                </c:pt>
                <c:pt idx="239">
                  <c:v>7.3661152244540533</c:v>
                </c:pt>
                <c:pt idx="240">
                  <c:v>0</c:v>
                </c:pt>
                <c:pt idx="241">
                  <c:v>3.098860667632648</c:v>
                </c:pt>
                <c:pt idx="242">
                  <c:v>4.0928237154315434</c:v>
                </c:pt>
                <c:pt idx="243">
                  <c:v>4.9660619799455628</c:v>
                </c:pt>
                <c:pt idx="244">
                  <c:v>2.5638379632225892</c:v>
                </c:pt>
                <c:pt idx="245">
                  <c:v>0</c:v>
                </c:pt>
                <c:pt idx="246">
                  <c:v>3.5941074830795863</c:v>
                </c:pt>
                <c:pt idx="247">
                  <c:v>4.6871727273505881</c:v>
                </c:pt>
                <c:pt idx="248">
                  <c:v>4.3231498065161915</c:v>
                </c:pt>
                <c:pt idx="249">
                  <c:v>3.0114229567036834</c:v>
                </c:pt>
                <c:pt idx="250">
                  <c:v>0</c:v>
                </c:pt>
                <c:pt idx="251">
                  <c:v>3.5218336683169462</c:v>
                </c:pt>
                <c:pt idx="252">
                  <c:v>4.0755224751818462</c:v>
                </c:pt>
                <c:pt idx="253">
                  <c:v>3.2461806376573095</c:v>
                </c:pt>
                <c:pt idx="254">
                  <c:v>2.3971889311489356</c:v>
                </c:pt>
              </c:numCache>
            </c:numRef>
          </c:yVal>
          <c:smooth val="0"/>
          <c:extLst>
            <c:ext xmlns:c16="http://schemas.microsoft.com/office/drawing/2014/chart" uri="{C3380CC4-5D6E-409C-BE32-E72D297353CC}">
              <c16:uniqueId val="{00000004-BA73-42ED-A2EC-F0D530B8C99B}"/>
            </c:ext>
          </c:extLst>
        </c:ser>
        <c:ser>
          <c:idx val="5"/>
          <c:order val="5"/>
          <c:spPr>
            <a:ln w="19050">
              <a:noFill/>
            </a:ln>
          </c:spPr>
          <c:xVal>
            <c:numRef>
              <c:f>'1996 alfalfa graphing'!$AT$5:$AT$259</c:f>
              <c:numCache>
                <c:formatCode>General</c:formatCode>
                <c:ptCount val="255"/>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143</c:v>
                </c:pt>
                <c:pt idx="91">
                  <c:v>144</c:v>
                </c:pt>
                <c:pt idx="92">
                  <c:v>145</c:v>
                </c:pt>
                <c:pt idx="93">
                  <c:v>146</c:v>
                </c:pt>
                <c:pt idx="94">
                  <c:v>147</c:v>
                </c:pt>
                <c:pt idx="95">
                  <c:v>148</c:v>
                </c:pt>
                <c:pt idx="96">
                  <c:v>149</c:v>
                </c:pt>
                <c:pt idx="97">
                  <c:v>150</c:v>
                </c:pt>
                <c:pt idx="98">
                  <c:v>151</c:v>
                </c:pt>
                <c:pt idx="99">
                  <c:v>152</c:v>
                </c:pt>
                <c:pt idx="100">
                  <c:v>153</c:v>
                </c:pt>
                <c:pt idx="101">
                  <c:v>154</c:v>
                </c:pt>
                <c:pt idx="102">
                  <c:v>155</c:v>
                </c:pt>
                <c:pt idx="103">
                  <c:v>156</c:v>
                </c:pt>
                <c:pt idx="104">
                  <c:v>157</c:v>
                </c:pt>
                <c:pt idx="105">
                  <c:v>158</c:v>
                </c:pt>
                <c:pt idx="106">
                  <c:v>159</c:v>
                </c:pt>
                <c:pt idx="107">
                  <c:v>160</c:v>
                </c:pt>
                <c:pt idx="108">
                  <c:v>161</c:v>
                </c:pt>
                <c:pt idx="109">
                  <c:v>162</c:v>
                </c:pt>
                <c:pt idx="110">
                  <c:v>163</c:v>
                </c:pt>
                <c:pt idx="111">
                  <c:v>164</c:v>
                </c:pt>
                <c:pt idx="112">
                  <c:v>165</c:v>
                </c:pt>
                <c:pt idx="113">
                  <c:v>166</c:v>
                </c:pt>
                <c:pt idx="114">
                  <c:v>167</c:v>
                </c:pt>
                <c:pt idx="115">
                  <c:v>168</c:v>
                </c:pt>
                <c:pt idx="116">
                  <c:v>169</c:v>
                </c:pt>
                <c:pt idx="117">
                  <c:v>170</c:v>
                </c:pt>
                <c:pt idx="118">
                  <c:v>171</c:v>
                </c:pt>
                <c:pt idx="119">
                  <c:v>172</c:v>
                </c:pt>
                <c:pt idx="120">
                  <c:v>173</c:v>
                </c:pt>
                <c:pt idx="121">
                  <c:v>174</c:v>
                </c:pt>
                <c:pt idx="122">
                  <c:v>175</c:v>
                </c:pt>
                <c:pt idx="123">
                  <c:v>176</c:v>
                </c:pt>
                <c:pt idx="124">
                  <c:v>177</c:v>
                </c:pt>
                <c:pt idx="125">
                  <c:v>178</c:v>
                </c:pt>
                <c:pt idx="126">
                  <c:v>179</c:v>
                </c:pt>
                <c:pt idx="127">
                  <c:v>180</c:v>
                </c:pt>
                <c:pt idx="128">
                  <c:v>181</c:v>
                </c:pt>
                <c:pt idx="129">
                  <c:v>182</c:v>
                </c:pt>
                <c:pt idx="130">
                  <c:v>183</c:v>
                </c:pt>
                <c:pt idx="131">
                  <c:v>184</c:v>
                </c:pt>
                <c:pt idx="132">
                  <c:v>185</c:v>
                </c:pt>
                <c:pt idx="133">
                  <c:v>186</c:v>
                </c:pt>
                <c:pt idx="134">
                  <c:v>187</c:v>
                </c:pt>
                <c:pt idx="135">
                  <c:v>188</c:v>
                </c:pt>
                <c:pt idx="136">
                  <c:v>189</c:v>
                </c:pt>
                <c:pt idx="137">
                  <c:v>190</c:v>
                </c:pt>
                <c:pt idx="138">
                  <c:v>191</c:v>
                </c:pt>
                <c:pt idx="139">
                  <c:v>192</c:v>
                </c:pt>
                <c:pt idx="140">
                  <c:v>193</c:v>
                </c:pt>
                <c:pt idx="141">
                  <c:v>194</c:v>
                </c:pt>
                <c:pt idx="142">
                  <c:v>195</c:v>
                </c:pt>
                <c:pt idx="143">
                  <c:v>196</c:v>
                </c:pt>
                <c:pt idx="144">
                  <c:v>197</c:v>
                </c:pt>
                <c:pt idx="145">
                  <c:v>198</c:v>
                </c:pt>
                <c:pt idx="146">
                  <c:v>199</c:v>
                </c:pt>
                <c:pt idx="147">
                  <c:v>200</c:v>
                </c:pt>
                <c:pt idx="148">
                  <c:v>201</c:v>
                </c:pt>
                <c:pt idx="149">
                  <c:v>202</c:v>
                </c:pt>
                <c:pt idx="150">
                  <c:v>203</c:v>
                </c:pt>
                <c:pt idx="151">
                  <c:v>204</c:v>
                </c:pt>
                <c:pt idx="152">
                  <c:v>205</c:v>
                </c:pt>
                <c:pt idx="153">
                  <c:v>206</c:v>
                </c:pt>
                <c:pt idx="154">
                  <c:v>207</c:v>
                </c:pt>
                <c:pt idx="155">
                  <c:v>208</c:v>
                </c:pt>
                <c:pt idx="156">
                  <c:v>209</c:v>
                </c:pt>
                <c:pt idx="157">
                  <c:v>210</c:v>
                </c:pt>
                <c:pt idx="158">
                  <c:v>211</c:v>
                </c:pt>
                <c:pt idx="159">
                  <c:v>212</c:v>
                </c:pt>
                <c:pt idx="160">
                  <c:v>213</c:v>
                </c:pt>
                <c:pt idx="161">
                  <c:v>214</c:v>
                </c:pt>
                <c:pt idx="162">
                  <c:v>215</c:v>
                </c:pt>
                <c:pt idx="163">
                  <c:v>216</c:v>
                </c:pt>
                <c:pt idx="164">
                  <c:v>217</c:v>
                </c:pt>
                <c:pt idx="165">
                  <c:v>218</c:v>
                </c:pt>
                <c:pt idx="166">
                  <c:v>219</c:v>
                </c:pt>
                <c:pt idx="167">
                  <c:v>220</c:v>
                </c:pt>
                <c:pt idx="168">
                  <c:v>221</c:v>
                </c:pt>
                <c:pt idx="169">
                  <c:v>222</c:v>
                </c:pt>
                <c:pt idx="170">
                  <c:v>223</c:v>
                </c:pt>
                <c:pt idx="171">
                  <c:v>224</c:v>
                </c:pt>
                <c:pt idx="172">
                  <c:v>225</c:v>
                </c:pt>
                <c:pt idx="173">
                  <c:v>226</c:v>
                </c:pt>
                <c:pt idx="174">
                  <c:v>227</c:v>
                </c:pt>
                <c:pt idx="175">
                  <c:v>228</c:v>
                </c:pt>
                <c:pt idx="176">
                  <c:v>229</c:v>
                </c:pt>
                <c:pt idx="177">
                  <c:v>230</c:v>
                </c:pt>
                <c:pt idx="178">
                  <c:v>231</c:v>
                </c:pt>
                <c:pt idx="179">
                  <c:v>232</c:v>
                </c:pt>
                <c:pt idx="180">
                  <c:v>233</c:v>
                </c:pt>
                <c:pt idx="181">
                  <c:v>234</c:v>
                </c:pt>
                <c:pt idx="182">
                  <c:v>235</c:v>
                </c:pt>
                <c:pt idx="183">
                  <c:v>236</c:v>
                </c:pt>
                <c:pt idx="184">
                  <c:v>237</c:v>
                </c:pt>
                <c:pt idx="185">
                  <c:v>238</c:v>
                </c:pt>
                <c:pt idx="186">
                  <c:v>239</c:v>
                </c:pt>
                <c:pt idx="187">
                  <c:v>240</c:v>
                </c:pt>
                <c:pt idx="188">
                  <c:v>241</c:v>
                </c:pt>
                <c:pt idx="189">
                  <c:v>242</c:v>
                </c:pt>
                <c:pt idx="190">
                  <c:v>243</c:v>
                </c:pt>
                <c:pt idx="191">
                  <c:v>244</c:v>
                </c:pt>
                <c:pt idx="192">
                  <c:v>245</c:v>
                </c:pt>
                <c:pt idx="193">
                  <c:v>246</c:v>
                </c:pt>
                <c:pt idx="194">
                  <c:v>247</c:v>
                </c:pt>
                <c:pt idx="195">
                  <c:v>248</c:v>
                </c:pt>
                <c:pt idx="196">
                  <c:v>249</c:v>
                </c:pt>
                <c:pt idx="197">
                  <c:v>250</c:v>
                </c:pt>
                <c:pt idx="198">
                  <c:v>251</c:v>
                </c:pt>
                <c:pt idx="199">
                  <c:v>252</c:v>
                </c:pt>
                <c:pt idx="200">
                  <c:v>253</c:v>
                </c:pt>
                <c:pt idx="201">
                  <c:v>254</c:v>
                </c:pt>
                <c:pt idx="202">
                  <c:v>255</c:v>
                </c:pt>
                <c:pt idx="203">
                  <c:v>256</c:v>
                </c:pt>
                <c:pt idx="204">
                  <c:v>257</c:v>
                </c:pt>
                <c:pt idx="205">
                  <c:v>258</c:v>
                </c:pt>
                <c:pt idx="206">
                  <c:v>259</c:v>
                </c:pt>
                <c:pt idx="207">
                  <c:v>260</c:v>
                </c:pt>
                <c:pt idx="208">
                  <c:v>261</c:v>
                </c:pt>
                <c:pt idx="209">
                  <c:v>262</c:v>
                </c:pt>
                <c:pt idx="210">
                  <c:v>263</c:v>
                </c:pt>
                <c:pt idx="211">
                  <c:v>264</c:v>
                </c:pt>
                <c:pt idx="212">
                  <c:v>265</c:v>
                </c:pt>
                <c:pt idx="213">
                  <c:v>266</c:v>
                </c:pt>
                <c:pt idx="214">
                  <c:v>267</c:v>
                </c:pt>
                <c:pt idx="215">
                  <c:v>268</c:v>
                </c:pt>
                <c:pt idx="216">
                  <c:v>269</c:v>
                </c:pt>
                <c:pt idx="217">
                  <c:v>270</c:v>
                </c:pt>
                <c:pt idx="218">
                  <c:v>271</c:v>
                </c:pt>
                <c:pt idx="219">
                  <c:v>272</c:v>
                </c:pt>
                <c:pt idx="220">
                  <c:v>273</c:v>
                </c:pt>
                <c:pt idx="221">
                  <c:v>274</c:v>
                </c:pt>
                <c:pt idx="222">
                  <c:v>275</c:v>
                </c:pt>
                <c:pt idx="223">
                  <c:v>276</c:v>
                </c:pt>
                <c:pt idx="224">
                  <c:v>277</c:v>
                </c:pt>
                <c:pt idx="225">
                  <c:v>278</c:v>
                </c:pt>
                <c:pt idx="226">
                  <c:v>279</c:v>
                </c:pt>
                <c:pt idx="227">
                  <c:v>280</c:v>
                </c:pt>
                <c:pt idx="228">
                  <c:v>281</c:v>
                </c:pt>
                <c:pt idx="229">
                  <c:v>282</c:v>
                </c:pt>
                <c:pt idx="230">
                  <c:v>283</c:v>
                </c:pt>
                <c:pt idx="231">
                  <c:v>284</c:v>
                </c:pt>
                <c:pt idx="232">
                  <c:v>285</c:v>
                </c:pt>
                <c:pt idx="233">
                  <c:v>286</c:v>
                </c:pt>
                <c:pt idx="234">
                  <c:v>287</c:v>
                </c:pt>
                <c:pt idx="235">
                  <c:v>53</c:v>
                </c:pt>
                <c:pt idx="236">
                  <c:v>108</c:v>
                </c:pt>
                <c:pt idx="237">
                  <c:v>122</c:v>
                </c:pt>
                <c:pt idx="238">
                  <c:v>141</c:v>
                </c:pt>
                <c:pt idx="239">
                  <c:v>142</c:v>
                </c:pt>
                <c:pt idx="240">
                  <c:v>142</c:v>
                </c:pt>
                <c:pt idx="241">
                  <c:v>158</c:v>
                </c:pt>
                <c:pt idx="242">
                  <c:v>172</c:v>
                </c:pt>
                <c:pt idx="243">
                  <c:v>183</c:v>
                </c:pt>
                <c:pt idx="244">
                  <c:v>190</c:v>
                </c:pt>
                <c:pt idx="245">
                  <c:v>190</c:v>
                </c:pt>
                <c:pt idx="246">
                  <c:v>207</c:v>
                </c:pt>
                <c:pt idx="247">
                  <c:v>218</c:v>
                </c:pt>
                <c:pt idx="248">
                  <c:v>227</c:v>
                </c:pt>
                <c:pt idx="249">
                  <c:v>228</c:v>
                </c:pt>
                <c:pt idx="250">
                  <c:v>228</c:v>
                </c:pt>
                <c:pt idx="251">
                  <c:v>247</c:v>
                </c:pt>
                <c:pt idx="252">
                  <c:v>262</c:v>
                </c:pt>
                <c:pt idx="253">
                  <c:v>281</c:v>
                </c:pt>
                <c:pt idx="254">
                  <c:v>281</c:v>
                </c:pt>
              </c:numCache>
            </c:numRef>
          </c:xVal>
          <c:yVal>
            <c:numRef>
              <c:f>'1996 alfalfa graphing'!$AZ$5:$AZ$259</c:f>
              <c:numCache>
                <c:formatCode>General</c:formatCode>
                <c:ptCount val="255"/>
                <c:pt idx="235">
                  <c:v>0</c:v>
                </c:pt>
                <c:pt idx="236">
                  <c:v>4.0417157153963652</c:v>
                </c:pt>
                <c:pt idx="237">
                  <c:v>6.0608181977655224</c:v>
                </c:pt>
                <c:pt idx="238">
                  <c:v>7.4357377137459935</c:v>
                </c:pt>
                <c:pt idx="239">
                  <c:v>6.1540772921217828</c:v>
                </c:pt>
                <c:pt idx="240">
                  <c:v>0</c:v>
                </c:pt>
                <c:pt idx="241">
                  <c:v>3.2272061959975078</c:v>
                </c:pt>
                <c:pt idx="242">
                  <c:v>4.0959888865092138</c:v>
                </c:pt>
                <c:pt idx="243">
                  <c:v>4.1765155087144166</c:v>
                </c:pt>
                <c:pt idx="244">
                  <c:v>3.1257573567599879</c:v>
                </c:pt>
                <c:pt idx="245">
                  <c:v>0</c:v>
                </c:pt>
                <c:pt idx="246">
                  <c:v>3.3250848096369863</c:v>
                </c:pt>
                <c:pt idx="247">
                  <c:v>4.9772255572269897</c:v>
                </c:pt>
                <c:pt idx="248">
                  <c:v>3.7571007458158396</c:v>
                </c:pt>
                <c:pt idx="249">
                  <c:v>2.4723706242055568</c:v>
                </c:pt>
                <c:pt idx="250">
                  <c:v>0</c:v>
                </c:pt>
                <c:pt idx="251">
                  <c:v>3.4119369521655267</c:v>
                </c:pt>
                <c:pt idx="252">
                  <c:v>3.7630626259108109</c:v>
                </c:pt>
                <c:pt idx="253">
                  <c:v>2.9218867029392261</c:v>
                </c:pt>
                <c:pt idx="254">
                  <c:v>1.9650411669695571</c:v>
                </c:pt>
              </c:numCache>
            </c:numRef>
          </c:yVal>
          <c:smooth val="0"/>
          <c:extLst>
            <c:ext xmlns:c16="http://schemas.microsoft.com/office/drawing/2014/chart" uri="{C3380CC4-5D6E-409C-BE32-E72D297353CC}">
              <c16:uniqueId val="{00000005-BA73-42ED-A2EC-F0D530B8C99B}"/>
            </c:ext>
          </c:extLst>
        </c:ser>
        <c:dLbls>
          <c:showLegendKey val="0"/>
          <c:showVal val="0"/>
          <c:showCatName val="0"/>
          <c:showSerName val="0"/>
          <c:showPercent val="0"/>
          <c:showBubbleSize val="0"/>
        </c:dLbls>
        <c:axId val="1427706400"/>
        <c:axId val="1"/>
      </c:scatterChart>
      <c:scatterChart>
        <c:scatterStyle val="lineMarker"/>
        <c:varyColors val="0"/>
        <c:ser>
          <c:idx val="1"/>
          <c:order val="1"/>
          <c:tx>
            <c:v>HEIGHT</c:v>
          </c:tx>
          <c:marker>
            <c:symbol val="none"/>
          </c:marker>
          <c:xVal>
            <c:numRef>
              <c:f>'1996 alfalfa graphing'!$AT$5:$AT$259</c:f>
              <c:numCache>
                <c:formatCode>General</c:formatCode>
                <c:ptCount val="255"/>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143</c:v>
                </c:pt>
                <c:pt idx="91">
                  <c:v>144</c:v>
                </c:pt>
                <c:pt idx="92">
                  <c:v>145</c:v>
                </c:pt>
                <c:pt idx="93">
                  <c:v>146</c:v>
                </c:pt>
                <c:pt idx="94">
                  <c:v>147</c:v>
                </c:pt>
                <c:pt idx="95">
                  <c:v>148</c:v>
                </c:pt>
                <c:pt idx="96">
                  <c:v>149</c:v>
                </c:pt>
                <c:pt idx="97">
                  <c:v>150</c:v>
                </c:pt>
                <c:pt idx="98">
                  <c:v>151</c:v>
                </c:pt>
                <c:pt idx="99">
                  <c:v>152</c:v>
                </c:pt>
                <c:pt idx="100">
                  <c:v>153</c:v>
                </c:pt>
                <c:pt idx="101">
                  <c:v>154</c:v>
                </c:pt>
                <c:pt idx="102">
                  <c:v>155</c:v>
                </c:pt>
                <c:pt idx="103">
                  <c:v>156</c:v>
                </c:pt>
                <c:pt idx="104">
                  <c:v>157</c:v>
                </c:pt>
                <c:pt idx="105">
                  <c:v>158</c:v>
                </c:pt>
                <c:pt idx="106">
                  <c:v>159</c:v>
                </c:pt>
                <c:pt idx="107">
                  <c:v>160</c:v>
                </c:pt>
                <c:pt idx="108">
                  <c:v>161</c:v>
                </c:pt>
                <c:pt idx="109">
                  <c:v>162</c:v>
                </c:pt>
                <c:pt idx="110">
                  <c:v>163</c:v>
                </c:pt>
                <c:pt idx="111">
                  <c:v>164</c:v>
                </c:pt>
                <c:pt idx="112">
                  <c:v>165</c:v>
                </c:pt>
                <c:pt idx="113">
                  <c:v>166</c:v>
                </c:pt>
                <c:pt idx="114">
                  <c:v>167</c:v>
                </c:pt>
                <c:pt idx="115">
                  <c:v>168</c:v>
                </c:pt>
                <c:pt idx="116">
                  <c:v>169</c:v>
                </c:pt>
                <c:pt idx="117">
                  <c:v>170</c:v>
                </c:pt>
                <c:pt idx="118">
                  <c:v>171</c:v>
                </c:pt>
                <c:pt idx="119">
                  <c:v>172</c:v>
                </c:pt>
                <c:pt idx="120">
                  <c:v>173</c:v>
                </c:pt>
                <c:pt idx="121">
                  <c:v>174</c:v>
                </c:pt>
                <c:pt idx="122">
                  <c:v>175</c:v>
                </c:pt>
                <c:pt idx="123">
                  <c:v>176</c:v>
                </c:pt>
                <c:pt idx="124">
                  <c:v>177</c:v>
                </c:pt>
                <c:pt idx="125">
                  <c:v>178</c:v>
                </c:pt>
                <c:pt idx="126">
                  <c:v>179</c:v>
                </c:pt>
                <c:pt idx="127">
                  <c:v>180</c:v>
                </c:pt>
                <c:pt idx="128">
                  <c:v>181</c:v>
                </c:pt>
                <c:pt idx="129">
                  <c:v>182</c:v>
                </c:pt>
                <c:pt idx="130">
                  <c:v>183</c:v>
                </c:pt>
                <c:pt idx="131">
                  <c:v>184</c:v>
                </c:pt>
                <c:pt idx="132">
                  <c:v>185</c:v>
                </c:pt>
                <c:pt idx="133">
                  <c:v>186</c:v>
                </c:pt>
                <c:pt idx="134">
                  <c:v>187</c:v>
                </c:pt>
                <c:pt idx="135">
                  <c:v>188</c:v>
                </c:pt>
                <c:pt idx="136">
                  <c:v>189</c:v>
                </c:pt>
                <c:pt idx="137">
                  <c:v>190</c:v>
                </c:pt>
                <c:pt idx="138">
                  <c:v>191</c:v>
                </c:pt>
                <c:pt idx="139">
                  <c:v>192</c:v>
                </c:pt>
                <c:pt idx="140">
                  <c:v>193</c:v>
                </c:pt>
                <c:pt idx="141">
                  <c:v>194</c:v>
                </c:pt>
                <c:pt idx="142">
                  <c:v>195</c:v>
                </c:pt>
                <c:pt idx="143">
                  <c:v>196</c:v>
                </c:pt>
                <c:pt idx="144">
                  <c:v>197</c:v>
                </c:pt>
                <c:pt idx="145">
                  <c:v>198</c:v>
                </c:pt>
                <c:pt idx="146">
                  <c:v>199</c:v>
                </c:pt>
                <c:pt idx="147">
                  <c:v>200</c:v>
                </c:pt>
                <c:pt idx="148">
                  <c:v>201</c:v>
                </c:pt>
                <c:pt idx="149">
                  <c:v>202</c:v>
                </c:pt>
                <c:pt idx="150">
                  <c:v>203</c:v>
                </c:pt>
                <c:pt idx="151">
                  <c:v>204</c:v>
                </c:pt>
                <c:pt idx="152">
                  <c:v>205</c:v>
                </c:pt>
                <c:pt idx="153">
                  <c:v>206</c:v>
                </c:pt>
                <c:pt idx="154">
                  <c:v>207</c:v>
                </c:pt>
                <c:pt idx="155">
                  <c:v>208</c:v>
                </c:pt>
                <c:pt idx="156">
                  <c:v>209</c:v>
                </c:pt>
                <c:pt idx="157">
                  <c:v>210</c:v>
                </c:pt>
                <c:pt idx="158">
                  <c:v>211</c:v>
                </c:pt>
                <c:pt idx="159">
                  <c:v>212</c:v>
                </c:pt>
                <c:pt idx="160">
                  <c:v>213</c:v>
                </c:pt>
                <c:pt idx="161">
                  <c:v>214</c:v>
                </c:pt>
                <c:pt idx="162">
                  <c:v>215</c:v>
                </c:pt>
                <c:pt idx="163">
                  <c:v>216</c:v>
                </c:pt>
                <c:pt idx="164">
                  <c:v>217</c:v>
                </c:pt>
                <c:pt idx="165">
                  <c:v>218</c:v>
                </c:pt>
                <c:pt idx="166">
                  <c:v>219</c:v>
                </c:pt>
                <c:pt idx="167">
                  <c:v>220</c:v>
                </c:pt>
                <c:pt idx="168">
                  <c:v>221</c:v>
                </c:pt>
                <c:pt idx="169">
                  <c:v>222</c:v>
                </c:pt>
                <c:pt idx="170">
                  <c:v>223</c:v>
                </c:pt>
                <c:pt idx="171">
                  <c:v>224</c:v>
                </c:pt>
                <c:pt idx="172">
                  <c:v>225</c:v>
                </c:pt>
                <c:pt idx="173">
                  <c:v>226</c:v>
                </c:pt>
                <c:pt idx="174">
                  <c:v>227</c:v>
                </c:pt>
                <c:pt idx="175">
                  <c:v>228</c:v>
                </c:pt>
                <c:pt idx="176">
                  <c:v>229</c:v>
                </c:pt>
                <c:pt idx="177">
                  <c:v>230</c:v>
                </c:pt>
                <c:pt idx="178">
                  <c:v>231</c:v>
                </c:pt>
                <c:pt idx="179">
                  <c:v>232</c:v>
                </c:pt>
                <c:pt idx="180">
                  <c:v>233</c:v>
                </c:pt>
                <c:pt idx="181">
                  <c:v>234</c:v>
                </c:pt>
                <c:pt idx="182">
                  <c:v>235</c:v>
                </c:pt>
                <c:pt idx="183">
                  <c:v>236</c:v>
                </c:pt>
                <c:pt idx="184">
                  <c:v>237</c:v>
                </c:pt>
                <c:pt idx="185">
                  <c:v>238</c:v>
                </c:pt>
                <c:pt idx="186">
                  <c:v>239</c:v>
                </c:pt>
                <c:pt idx="187">
                  <c:v>240</c:v>
                </c:pt>
                <c:pt idx="188">
                  <c:v>241</c:v>
                </c:pt>
                <c:pt idx="189">
                  <c:v>242</c:v>
                </c:pt>
                <c:pt idx="190">
                  <c:v>243</c:v>
                </c:pt>
                <c:pt idx="191">
                  <c:v>244</c:v>
                </c:pt>
                <c:pt idx="192">
                  <c:v>245</c:v>
                </c:pt>
                <c:pt idx="193">
                  <c:v>246</c:v>
                </c:pt>
                <c:pt idx="194">
                  <c:v>247</c:v>
                </c:pt>
                <c:pt idx="195">
                  <c:v>248</c:v>
                </c:pt>
                <c:pt idx="196">
                  <c:v>249</c:v>
                </c:pt>
                <c:pt idx="197">
                  <c:v>250</c:v>
                </c:pt>
                <c:pt idx="198">
                  <c:v>251</c:v>
                </c:pt>
                <c:pt idx="199">
                  <c:v>252</c:v>
                </c:pt>
                <c:pt idx="200">
                  <c:v>253</c:v>
                </c:pt>
                <c:pt idx="201">
                  <c:v>254</c:v>
                </c:pt>
                <c:pt idx="202">
                  <c:v>255</c:v>
                </c:pt>
                <c:pt idx="203">
                  <c:v>256</c:v>
                </c:pt>
                <c:pt idx="204">
                  <c:v>257</c:v>
                </c:pt>
                <c:pt idx="205">
                  <c:v>258</c:v>
                </c:pt>
                <c:pt idx="206">
                  <c:v>259</c:v>
                </c:pt>
                <c:pt idx="207">
                  <c:v>260</c:v>
                </c:pt>
                <c:pt idx="208">
                  <c:v>261</c:v>
                </c:pt>
                <c:pt idx="209">
                  <c:v>262</c:v>
                </c:pt>
                <c:pt idx="210">
                  <c:v>263</c:v>
                </c:pt>
                <c:pt idx="211">
                  <c:v>264</c:v>
                </c:pt>
                <c:pt idx="212">
                  <c:v>265</c:v>
                </c:pt>
                <c:pt idx="213">
                  <c:v>266</c:v>
                </c:pt>
                <c:pt idx="214">
                  <c:v>267</c:v>
                </c:pt>
                <c:pt idx="215">
                  <c:v>268</c:v>
                </c:pt>
                <c:pt idx="216">
                  <c:v>269</c:v>
                </c:pt>
                <c:pt idx="217">
                  <c:v>270</c:v>
                </c:pt>
                <c:pt idx="218">
                  <c:v>271</c:v>
                </c:pt>
                <c:pt idx="219">
                  <c:v>272</c:v>
                </c:pt>
                <c:pt idx="220">
                  <c:v>273</c:v>
                </c:pt>
                <c:pt idx="221">
                  <c:v>274</c:v>
                </c:pt>
                <c:pt idx="222">
                  <c:v>275</c:v>
                </c:pt>
                <c:pt idx="223">
                  <c:v>276</c:v>
                </c:pt>
                <c:pt idx="224">
                  <c:v>277</c:v>
                </c:pt>
                <c:pt idx="225">
                  <c:v>278</c:v>
                </c:pt>
                <c:pt idx="226">
                  <c:v>279</c:v>
                </c:pt>
                <c:pt idx="227">
                  <c:v>280</c:v>
                </c:pt>
                <c:pt idx="228">
                  <c:v>281</c:v>
                </c:pt>
                <c:pt idx="229">
                  <c:v>282</c:v>
                </c:pt>
                <c:pt idx="230">
                  <c:v>283</c:v>
                </c:pt>
                <c:pt idx="231">
                  <c:v>284</c:v>
                </c:pt>
                <c:pt idx="232">
                  <c:v>285</c:v>
                </c:pt>
                <c:pt idx="233">
                  <c:v>286</c:v>
                </c:pt>
                <c:pt idx="234">
                  <c:v>287</c:v>
                </c:pt>
                <c:pt idx="235">
                  <c:v>53</c:v>
                </c:pt>
                <c:pt idx="236">
                  <c:v>108</c:v>
                </c:pt>
                <c:pt idx="237">
                  <c:v>122</c:v>
                </c:pt>
                <c:pt idx="238">
                  <c:v>141</c:v>
                </c:pt>
                <c:pt idx="239">
                  <c:v>142</c:v>
                </c:pt>
                <c:pt idx="240">
                  <c:v>142</c:v>
                </c:pt>
                <c:pt idx="241">
                  <c:v>158</c:v>
                </c:pt>
                <c:pt idx="242">
                  <c:v>172</c:v>
                </c:pt>
                <c:pt idx="243">
                  <c:v>183</c:v>
                </c:pt>
                <c:pt idx="244">
                  <c:v>190</c:v>
                </c:pt>
                <c:pt idx="245">
                  <c:v>190</c:v>
                </c:pt>
                <c:pt idx="246">
                  <c:v>207</c:v>
                </c:pt>
                <c:pt idx="247">
                  <c:v>218</c:v>
                </c:pt>
                <c:pt idx="248">
                  <c:v>227</c:v>
                </c:pt>
                <c:pt idx="249">
                  <c:v>228</c:v>
                </c:pt>
                <c:pt idx="250">
                  <c:v>228</c:v>
                </c:pt>
                <c:pt idx="251">
                  <c:v>247</c:v>
                </c:pt>
                <c:pt idx="252">
                  <c:v>262</c:v>
                </c:pt>
                <c:pt idx="253">
                  <c:v>281</c:v>
                </c:pt>
                <c:pt idx="254">
                  <c:v>281</c:v>
                </c:pt>
              </c:numCache>
            </c:numRef>
          </c:xVal>
          <c:yVal>
            <c:numRef>
              <c:f>'1996 alfalfa graphing'!$AV$5:$AV$259</c:f>
              <c:numCache>
                <c:formatCode>General</c:formatCode>
                <c:ptCount val="255"/>
                <c:pt idx="0">
                  <c:v>2</c:v>
                </c:pt>
                <c:pt idx="1">
                  <c:v>1.972898</c:v>
                </c:pt>
                <c:pt idx="2">
                  <c:v>1.949959</c:v>
                </c:pt>
                <c:pt idx="3">
                  <c:v>1.931716</c:v>
                </c:pt>
                <c:pt idx="4">
                  <c:v>1.918703</c:v>
                </c:pt>
                <c:pt idx="5">
                  <c:v>1.9114530000000001</c:v>
                </c:pt>
                <c:pt idx="6">
                  <c:v>1.910498</c:v>
                </c:pt>
                <c:pt idx="7">
                  <c:v>1.916371</c:v>
                </c:pt>
                <c:pt idx="8">
                  <c:v>1.9296059999999999</c:v>
                </c:pt>
                <c:pt idx="9">
                  <c:v>1.9507350000000001</c:v>
                </c:pt>
                <c:pt idx="10">
                  <c:v>1.9802919999999999</c:v>
                </c:pt>
                <c:pt idx="11">
                  <c:v>2.0188090000000001</c:v>
                </c:pt>
                <c:pt idx="12">
                  <c:v>2.0668199999999999</c:v>
                </c:pt>
                <c:pt idx="13">
                  <c:v>2.1248559999999999</c:v>
                </c:pt>
                <c:pt idx="14">
                  <c:v>2.1934529999999999</c:v>
                </c:pt>
                <c:pt idx="15">
                  <c:v>2.2731409999999999</c:v>
                </c:pt>
                <c:pt idx="16">
                  <c:v>2.364455</c:v>
                </c:pt>
                <c:pt idx="17">
                  <c:v>2.467927</c:v>
                </c:pt>
                <c:pt idx="18">
                  <c:v>2.5840900000000002</c:v>
                </c:pt>
                <c:pt idx="19">
                  <c:v>2.7134779999999998</c:v>
                </c:pt>
                <c:pt idx="20">
                  <c:v>2.8566220000000002</c:v>
                </c:pt>
                <c:pt idx="21">
                  <c:v>3.0140570000000002</c:v>
                </c:pt>
                <c:pt idx="22">
                  <c:v>3.186315</c:v>
                </c:pt>
                <c:pt idx="23">
                  <c:v>3.3739300000000001</c:v>
                </c:pt>
                <c:pt idx="24">
                  <c:v>3.5774330000000001</c:v>
                </c:pt>
                <c:pt idx="25">
                  <c:v>3.797358</c:v>
                </c:pt>
                <c:pt idx="26">
                  <c:v>4.0342380000000002</c:v>
                </c:pt>
                <c:pt idx="27">
                  <c:v>4.2886069999999998</c:v>
                </c:pt>
                <c:pt idx="28">
                  <c:v>4.5609960000000003</c:v>
                </c:pt>
                <c:pt idx="29">
                  <c:v>4.8519399999999999</c:v>
                </c:pt>
                <c:pt idx="30">
                  <c:v>5.1619700000000002</c:v>
                </c:pt>
                <c:pt idx="31">
                  <c:v>5.4916210000000003</c:v>
                </c:pt>
                <c:pt idx="32">
                  <c:v>5.8414239999999999</c:v>
                </c:pt>
                <c:pt idx="33">
                  <c:v>6.211913</c:v>
                </c:pt>
                <c:pt idx="34">
                  <c:v>6.6036210000000004</c:v>
                </c:pt>
                <c:pt idx="35">
                  <c:v>7.0170810000000001</c:v>
                </c:pt>
                <c:pt idx="36">
                  <c:v>7.452826</c:v>
                </c:pt>
                <c:pt idx="37">
                  <c:v>7.9113879999999996</c:v>
                </c:pt>
                <c:pt idx="38">
                  <c:v>8.3933020000000003</c:v>
                </c:pt>
                <c:pt idx="39">
                  <c:v>8.8990989999999996</c:v>
                </c:pt>
                <c:pt idx="40">
                  <c:v>9.4293130000000005</c:v>
                </c:pt>
                <c:pt idx="41">
                  <c:v>9.984477</c:v>
                </c:pt>
                <c:pt idx="42">
                  <c:v>10.56512</c:v>
                </c:pt>
                <c:pt idx="43">
                  <c:v>11.17179</c:v>
                </c:pt>
                <c:pt idx="44">
                  <c:v>11.805</c:v>
                </c:pt>
                <c:pt idx="45">
                  <c:v>12.46529</c:v>
                </c:pt>
                <c:pt idx="46">
                  <c:v>13.1532</c:v>
                </c:pt>
                <c:pt idx="47">
                  <c:v>13.869249999999999</c:v>
                </c:pt>
                <c:pt idx="48">
                  <c:v>14.613989999999999</c:v>
                </c:pt>
                <c:pt idx="49">
                  <c:v>15.387930000000001</c:v>
                </c:pt>
                <c:pt idx="50">
                  <c:v>16.19163</c:v>
                </c:pt>
                <c:pt idx="51">
                  <c:v>17.025600000000001</c:v>
                </c:pt>
                <c:pt idx="52">
                  <c:v>17.89039</c:v>
                </c:pt>
                <c:pt idx="53">
                  <c:v>18.786519999999999</c:v>
                </c:pt>
                <c:pt idx="54">
                  <c:v>19.71453</c:v>
                </c:pt>
                <c:pt idx="55">
                  <c:v>20.674959999999999</c:v>
                </c:pt>
                <c:pt idx="56">
                  <c:v>21.650680000000001</c:v>
                </c:pt>
                <c:pt idx="57">
                  <c:v>22.660540000000001</c:v>
                </c:pt>
                <c:pt idx="58">
                  <c:v>23.707450000000001</c:v>
                </c:pt>
                <c:pt idx="59">
                  <c:v>24.794319999999999</c:v>
                </c:pt>
                <c:pt idx="60">
                  <c:v>25.924050000000001</c:v>
                </c:pt>
                <c:pt idx="61">
                  <c:v>27.099550000000001</c:v>
                </c:pt>
                <c:pt idx="62">
                  <c:v>28.323730000000001</c:v>
                </c:pt>
                <c:pt idx="63">
                  <c:v>29.599489999999999</c:v>
                </c:pt>
                <c:pt idx="64">
                  <c:v>30.929739999999999</c:v>
                </c:pt>
                <c:pt idx="65">
                  <c:v>32.317390000000003</c:v>
                </c:pt>
                <c:pt idx="66">
                  <c:v>33.765340000000002</c:v>
                </c:pt>
                <c:pt idx="67">
                  <c:v>35.276490000000003</c:v>
                </c:pt>
                <c:pt idx="68">
                  <c:v>36.853760000000001</c:v>
                </c:pt>
                <c:pt idx="69">
                  <c:v>38.500050000000002</c:v>
                </c:pt>
                <c:pt idx="70">
                  <c:v>40.218269999999997</c:v>
                </c:pt>
                <c:pt idx="71">
                  <c:v>42.007339999999999</c:v>
                </c:pt>
                <c:pt idx="72">
                  <c:v>43.851379999999999</c:v>
                </c:pt>
                <c:pt idx="73">
                  <c:v>45.73021</c:v>
                </c:pt>
                <c:pt idx="74">
                  <c:v>47.623820000000002</c:v>
                </c:pt>
                <c:pt idx="75">
                  <c:v>49.512189999999997</c:v>
                </c:pt>
                <c:pt idx="76">
                  <c:v>51.37529</c:v>
                </c:pt>
                <c:pt idx="77">
                  <c:v>53.193100000000001</c:v>
                </c:pt>
                <c:pt idx="78">
                  <c:v>54.945619999999998</c:v>
                </c:pt>
                <c:pt idx="79">
                  <c:v>56.612810000000003</c:v>
                </c:pt>
                <c:pt idx="80">
                  <c:v>58.174660000000003</c:v>
                </c:pt>
                <c:pt idx="81">
                  <c:v>59.611139999999999</c:v>
                </c:pt>
                <c:pt idx="82">
                  <c:v>60.902250000000002</c:v>
                </c:pt>
                <c:pt idx="83">
                  <c:v>62.027949999999997</c:v>
                </c:pt>
                <c:pt idx="84">
                  <c:v>62.968229999999998</c:v>
                </c:pt>
                <c:pt idx="85">
                  <c:v>63.70308</c:v>
                </c:pt>
                <c:pt idx="86">
                  <c:v>64.212459999999993</c:v>
                </c:pt>
                <c:pt idx="87">
                  <c:v>64.47636</c:v>
                </c:pt>
                <c:pt idx="88">
                  <c:v>64.474760000000003</c:v>
                </c:pt>
                <c:pt idx="89">
                  <c:v>2</c:v>
                </c:pt>
                <c:pt idx="90">
                  <c:v>2.5848909999999998</c:v>
                </c:pt>
                <c:pt idx="91">
                  <c:v>3.347953</c:v>
                </c:pt>
                <c:pt idx="92">
                  <c:v>4.2905509999999998</c:v>
                </c:pt>
                <c:pt idx="93">
                  <c:v>5.4140490000000003</c:v>
                </c:pt>
                <c:pt idx="94">
                  <c:v>6.7198140000000004</c:v>
                </c:pt>
                <c:pt idx="95">
                  <c:v>8.206747</c:v>
                </c:pt>
                <c:pt idx="96">
                  <c:v>9.863899</c:v>
                </c:pt>
                <c:pt idx="97">
                  <c:v>11.677860000000001</c:v>
                </c:pt>
                <c:pt idx="98">
                  <c:v>13.635210000000001</c:v>
                </c:pt>
                <c:pt idx="99">
                  <c:v>15.72254</c:v>
                </c:pt>
                <c:pt idx="100">
                  <c:v>17.926439999999999</c:v>
                </c:pt>
                <c:pt idx="101">
                  <c:v>20.233499999999999</c:v>
                </c:pt>
                <c:pt idx="102">
                  <c:v>22.630289999999999</c:v>
                </c:pt>
                <c:pt idx="103">
                  <c:v>25.10342</c:v>
                </c:pt>
                <c:pt idx="104">
                  <c:v>27.639469999999999</c:v>
                </c:pt>
                <c:pt idx="105">
                  <c:v>30.225020000000001</c:v>
                </c:pt>
                <c:pt idx="106">
                  <c:v>32.84666</c:v>
                </c:pt>
                <c:pt idx="107">
                  <c:v>35.49098</c:v>
                </c:pt>
                <c:pt idx="108">
                  <c:v>38.144570000000002</c:v>
                </c:pt>
                <c:pt idx="109">
                  <c:v>40.79401</c:v>
                </c:pt>
                <c:pt idx="110">
                  <c:v>43.425849999999997</c:v>
                </c:pt>
                <c:pt idx="111">
                  <c:v>46.026519999999998</c:v>
                </c:pt>
                <c:pt idx="112">
                  <c:v>48.582389999999997</c:v>
                </c:pt>
                <c:pt idx="113">
                  <c:v>51.079839999999997</c:v>
                </c:pt>
                <c:pt idx="114">
                  <c:v>53.505240000000001</c:v>
                </c:pt>
                <c:pt idx="115">
                  <c:v>55.844990000000003</c:v>
                </c:pt>
                <c:pt idx="116">
                  <c:v>58.085450000000002</c:v>
                </c:pt>
                <c:pt idx="117">
                  <c:v>60.21302</c:v>
                </c:pt>
                <c:pt idx="118">
                  <c:v>62.214060000000003</c:v>
                </c:pt>
                <c:pt idx="119">
                  <c:v>64.074960000000004</c:v>
                </c:pt>
                <c:pt idx="120">
                  <c:v>65.782089999999997</c:v>
                </c:pt>
                <c:pt idx="121">
                  <c:v>67.321849999999998</c:v>
                </c:pt>
                <c:pt idx="122">
                  <c:v>68.680599999999998</c:v>
                </c:pt>
                <c:pt idx="123">
                  <c:v>69.844719999999995</c:v>
                </c:pt>
                <c:pt idx="124">
                  <c:v>70.800600000000003</c:v>
                </c:pt>
                <c:pt idx="125">
                  <c:v>71.534610000000001</c:v>
                </c:pt>
                <c:pt idx="126">
                  <c:v>72.033140000000003</c:v>
                </c:pt>
                <c:pt idx="127">
                  <c:v>72.282570000000007</c:v>
                </c:pt>
                <c:pt idx="128">
                  <c:v>72.269260000000003</c:v>
                </c:pt>
                <c:pt idx="129">
                  <c:v>71.979609999999994</c:v>
                </c:pt>
                <c:pt idx="130">
                  <c:v>71.400000000000006</c:v>
                </c:pt>
                <c:pt idx="131">
                  <c:v>70.516800000000003</c:v>
                </c:pt>
                <c:pt idx="132">
                  <c:v>69.316389999999998</c:v>
                </c:pt>
                <c:pt idx="133">
                  <c:v>67.785160000000005</c:v>
                </c:pt>
                <c:pt idx="134">
                  <c:v>65.909469999999999</c:v>
                </c:pt>
                <c:pt idx="135">
                  <c:v>63.675719999999998</c:v>
                </c:pt>
                <c:pt idx="136">
                  <c:v>61.070270000000001</c:v>
                </c:pt>
                <c:pt idx="137">
                  <c:v>2.0000300000000002</c:v>
                </c:pt>
                <c:pt idx="138">
                  <c:v>3.7493989999999999</c:v>
                </c:pt>
                <c:pt idx="139">
                  <c:v>5.6313560000000003</c:v>
                </c:pt>
                <c:pt idx="140">
                  <c:v>7.6326989999999997</c:v>
                </c:pt>
                <c:pt idx="141">
                  <c:v>9.7402320000000007</c:v>
                </c:pt>
                <c:pt idx="142">
                  <c:v>11.94075</c:v>
                </c:pt>
                <c:pt idx="143">
                  <c:v>14.221069999999999</c:v>
                </c:pt>
                <c:pt idx="144">
                  <c:v>16.567969999999999</c:v>
                </c:pt>
                <c:pt idx="145">
                  <c:v>18.96827</c:v>
                </c:pt>
                <c:pt idx="146">
                  <c:v>21.408770000000001</c:v>
                </c:pt>
                <c:pt idx="147">
                  <c:v>23.876259999999998</c:v>
                </c:pt>
                <c:pt idx="148">
                  <c:v>26.35754</c:v>
                </c:pt>
                <c:pt idx="149">
                  <c:v>28.83942</c:v>
                </c:pt>
                <c:pt idx="150">
                  <c:v>31.308700000000002</c:v>
                </c:pt>
                <c:pt idx="151">
                  <c:v>33.752180000000003</c:v>
                </c:pt>
                <c:pt idx="152">
                  <c:v>36.156660000000002</c:v>
                </c:pt>
                <c:pt idx="153">
                  <c:v>38.509450000000001</c:v>
                </c:pt>
                <c:pt idx="154">
                  <c:v>40.799930000000003</c:v>
                </c:pt>
                <c:pt idx="155">
                  <c:v>43.017960000000002</c:v>
                </c:pt>
                <c:pt idx="156">
                  <c:v>45.15343</c:v>
                </c:pt>
                <c:pt idx="157">
                  <c:v>47.196219999999997</c:v>
                </c:pt>
                <c:pt idx="158">
                  <c:v>49.136200000000002</c:v>
                </c:pt>
                <c:pt idx="159">
                  <c:v>50.963250000000002</c:v>
                </c:pt>
                <c:pt idx="160">
                  <c:v>52.667259999999999</c:v>
                </c:pt>
                <c:pt idx="161">
                  <c:v>54.23809</c:v>
                </c:pt>
                <c:pt idx="162">
                  <c:v>55.66563</c:v>
                </c:pt>
                <c:pt idx="163">
                  <c:v>56.933759999999999</c:v>
                </c:pt>
                <c:pt idx="164">
                  <c:v>58.002290000000002</c:v>
                </c:pt>
                <c:pt idx="165">
                  <c:v>58.825040000000001</c:v>
                </c:pt>
                <c:pt idx="166">
                  <c:v>59.355840000000001</c:v>
                </c:pt>
                <c:pt idx="167">
                  <c:v>59.548499999999997</c:v>
                </c:pt>
                <c:pt idx="168">
                  <c:v>59.356830000000002</c:v>
                </c:pt>
                <c:pt idx="169">
                  <c:v>58.734670000000001</c:v>
                </c:pt>
                <c:pt idx="170">
                  <c:v>57.635829999999999</c:v>
                </c:pt>
                <c:pt idx="171">
                  <c:v>56.014119999999998</c:v>
                </c:pt>
                <c:pt idx="172">
                  <c:v>53.823369999999997</c:v>
                </c:pt>
                <c:pt idx="173">
                  <c:v>51.017389999999999</c:v>
                </c:pt>
                <c:pt idx="174">
                  <c:v>2</c:v>
                </c:pt>
                <c:pt idx="175">
                  <c:v>2.0000330000000002</c:v>
                </c:pt>
                <c:pt idx="176">
                  <c:v>4.4522510000000004</c:v>
                </c:pt>
                <c:pt idx="177">
                  <c:v>6.8708600000000004</c:v>
                </c:pt>
                <c:pt idx="178">
                  <c:v>9.2472770000000004</c:v>
                </c:pt>
                <c:pt idx="179">
                  <c:v>11.57292</c:v>
                </c:pt>
                <c:pt idx="180">
                  <c:v>13.839219999999999</c:v>
                </c:pt>
                <c:pt idx="181">
                  <c:v>16.03941</c:v>
                </c:pt>
                <c:pt idx="182">
                  <c:v>18.172139999999999</c:v>
                </c:pt>
                <c:pt idx="183">
                  <c:v>20.23706</c:v>
                </c:pt>
                <c:pt idx="184">
                  <c:v>22.233809999999998</c:v>
                </c:pt>
                <c:pt idx="185">
                  <c:v>24.162050000000001</c:v>
                </c:pt>
                <c:pt idx="186">
                  <c:v>26.021419999999999</c:v>
                </c:pt>
                <c:pt idx="187">
                  <c:v>27.81157</c:v>
                </c:pt>
                <c:pt idx="188">
                  <c:v>29.532150000000001</c:v>
                </c:pt>
                <c:pt idx="189">
                  <c:v>31.18281</c:v>
                </c:pt>
                <c:pt idx="190">
                  <c:v>32.763190000000002</c:v>
                </c:pt>
                <c:pt idx="191">
                  <c:v>34.272950000000002</c:v>
                </c:pt>
                <c:pt idx="192">
                  <c:v>35.711730000000003</c:v>
                </c:pt>
                <c:pt idx="193">
                  <c:v>37.079169999999998</c:v>
                </c:pt>
                <c:pt idx="194">
                  <c:v>38.374940000000002</c:v>
                </c:pt>
                <c:pt idx="195">
                  <c:v>39.598669999999998</c:v>
                </c:pt>
                <c:pt idx="196">
                  <c:v>40.750340000000001</c:v>
                </c:pt>
                <c:pt idx="197">
                  <c:v>41.831760000000003</c:v>
                </c:pt>
                <c:pt idx="198">
                  <c:v>42.845300000000002</c:v>
                </c:pt>
                <c:pt idx="199">
                  <c:v>43.793370000000003</c:v>
                </c:pt>
                <c:pt idx="200">
                  <c:v>44.678359999999998</c:v>
                </c:pt>
                <c:pt idx="201">
                  <c:v>45.502670000000002</c:v>
                </c:pt>
                <c:pt idx="202">
                  <c:v>46.268689999999999</c:v>
                </c:pt>
                <c:pt idx="203">
                  <c:v>46.978819999999999</c:v>
                </c:pt>
                <c:pt idx="204">
                  <c:v>47.635460000000002</c:v>
                </c:pt>
                <c:pt idx="205">
                  <c:v>48.240989999999996</c:v>
                </c:pt>
                <c:pt idx="206">
                  <c:v>48.797820000000002</c:v>
                </c:pt>
                <c:pt idx="207">
                  <c:v>49.308349999999997</c:v>
                </c:pt>
                <c:pt idx="208">
                  <c:v>49.77496</c:v>
                </c:pt>
                <c:pt idx="209">
                  <c:v>50.200060000000001</c:v>
                </c:pt>
                <c:pt idx="210">
                  <c:v>50.586030000000001</c:v>
                </c:pt>
                <c:pt idx="211">
                  <c:v>50.935279999999999</c:v>
                </c:pt>
                <c:pt idx="212">
                  <c:v>51.2502</c:v>
                </c:pt>
                <c:pt idx="213">
                  <c:v>51.533180000000002</c:v>
                </c:pt>
                <c:pt idx="214">
                  <c:v>51.786630000000002</c:v>
                </c:pt>
                <c:pt idx="215">
                  <c:v>52.01294</c:v>
                </c:pt>
                <c:pt idx="216">
                  <c:v>52.214500000000001</c:v>
                </c:pt>
                <c:pt idx="217">
                  <c:v>52.393700000000003</c:v>
                </c:pt>
                <c:pt idx="218">
                  <c:v>52.552959999999999</c:v>
                </c:pt>
                <c:pt idx="219">
                  <c:v>52.694650000000003</c:v>
                </c:pt>
                <c:pt idx="220">
                  <c:v>52.821179999999998</c:v>
                </c:pt>
                <c:pt idx="221">
                  <c:v>52.934939999999997</c:v>
                </c:pt>
                <c:pt idx="222">
                  <c:v>53.038330000000002</c:v>
                </c:pt>
                <c:pt idx="223">
                  <c:v>53.133740000000003</c:v>
                </c:pt>
                <c:pt idx="224">
                  <c:v>53.223570000000002</c:v>
                </c:pt>
                <c:pt idx="225">
                  <c:v>53.310209999999998</c:v>
                </c:pt>
                <c:pt idx="226">
                  <c:v>53.396070000000002</c:v>
                </c:pt>
                <c:pt idx="227">
                  <c:v>53.483530000000002</c:v>
                </c:pt>
                <c:pt idx="228">
                  <c:v>53.575000000000003</c:v>
                </c:pt>
                <c:pt idx="229">
                  <c:v>53.67286</c:v>
                </c:pt>
                <c:pt idx="230">
                  <c:v>53.779510000000002</c:v>
                </c:pt>
                <c:pt idx="231">
                  <c:v>53.897359999999999</c:v>
                </c:pt>
                <c:pt idx="232">
                  <c:v>54.028790000000001</c:v>
                </c:pt>
                <c:pt idx="233">
                  <c:v>54.176200000000001</c:v>
                </c:pt>
                <c:pt idx="234">
                  <c:v>54.34198</c:v>
                </c:pt>
              </c:numCache>
            </c:numRef>
          </c:yVal>
          <c:smooth val="0"/>
          <c:extLst>
            <c:ext xmlns:c16="http://schemas.microsoft.com/office/drawing/2014/chart" uri="{C3380CC4-5D6E-409C-BE32-E72D297353CC}">
              <c16:uniqueId val="{00000001-BA73-42ED-A2EC-F0D530B8C99B}"/>
            </c:ext>
          </c:extLst>
        </c:ser>
        <c:ser>
          <c:idx val="3"/>
          <c:order val="3"/>
          <c:spPr>
            <a:ln w="19050">
              <a:noFill/>
            </a:ln>
          </c:spPr>
          <c:xVal>
            <c:numRef>
              <c:f>'1996 alfalfa graphing'!$AT$5:$AT$259</c:f>
              <c:numCache>
                <c:formatCode>General</c:formatCode>
                <c:ptCount val="255"/>
                <c:pt idx="0">
                  <c:v>53</c:v>
                </c:pt>
                <c:pt idx="1">
                  <c:v>54</c:v>
                </c:pt>
                <c:pt idx="2">
                  <c:v>55</c:v>
                </c:pt>
                <c:pt idx="3">
                  <c:v>56</c:v>
                </c:pt>
                <c:pt idx="4">
                  <c:v>57</c:v>
                </c:pt>
                <c:pt idx="5">
                  <c:v>58</c:v>
                </c:pt>
                <c:pt idx="6">
                  <c:v>59</c:v>
                </c:pt>
                <c:pt idx="7">
                  <c:v>60</c:v>
                </c:pt>
                <c:pt idx="8">
                  <c:v>61</c:v>
                </c:pt>
                <c:pt idx="9">
                  <c:v>62</c:v>
                </c:pt>
                <c:pt idx="10">
                  <c:v>63</c:v>
                </c:pt>
                <c:pt idx="11">
                  <c:v>64</c:v>
                </c:pt>
                <c:pt idx="12">
                  <c:v>65</c:v>
                </c:pt>
                <c:pt idx="13">
                  <c:v>66</c:v>
                </c:pt>
                <c:pt idx="14">
                  <c:v>67</c:v>
                </c:pt>
                <c:pt idx="15">
                  <c:v>68</c:v>
                </c:pt>
                <c:pt idx="16">
                  <c:v>69</c:v>
                </c:pt>
                <c:pt idx="17">
                  <c:v>70</c:v>
                </c:pt>
                <c:pt idx="18">
                  <c:v>71</c:v>
                </c:pt>
                <c:pt idx="19">
                  <c:v>72</c:v>
                </c:pt>
                <c:pt idx="20">
                  <c:v>73</c:v>
                </c:pt>
                <c:pt idx="21">
                  <c:v>74</c:v>
                </c:pt>
                <c:pt idx="22">
                  <c:v>75</c:v>
                </c:pt>
                <c:pt idx="23">
                  <c:v>76</c:v>
                </c:pt>
                <c:pt idx="24">
                  <c:v>77</c:v>
                </c:pt>
                <c:pt idx="25">
                  <c:v>78</c:v>
                </c:pt>
                <c:pt idx="26">
                  <c:v>79</c:v>
                </c:pt>
                <c:pt idx="27">
                  <c:v>80</c:v>
                </c:pt>
                <c:pt idx="28">
                  <c:v>81</c:v>
                </c:pt>
                <c:pt idx="29">
                  <c:v>82</c:v>
                </c:pt>
                <c:pt idx="30">
                  <c:v>83</c:v>
                </c:pt>
                <c:pt idx="31">
                  <c:v>84</c:v>
                </c:pt>
                <c:pt idx="32">
                  <c:v>85</c:v>
                </c:pt>
                <c:pt idx="33">
                  <c:v>86</c:v>
                </c:pt>
                <c:pt idx="34">
                  <c:v>87</c:v>
                </c:pt>
                <c:pt idx="35">
                  <c:v>88</c:v>
                </c:pt>
                <c:pt idx="36">
                  <c:v>89</c:v>
                </c:pt>
                <c:pt idx="37">
                  <c:v>90</c:v>
                </c:pt>
                <c:pt idx="38">
                  <c:v>91</c:v>
                </c:pt>
                <c:pt idx="39">
                  <c:v>92</c:v>
                </c:pt>
                <c:pt idx="40">
                  <c:v>93</c:v>
                </c:pt>
                <c:pt idx="41">
                  <c:v>94</c:v>
                </c:pt>
                <c:pt idx="42">
                  <c:v>95</c:v>
                </c:pt>
                <c:pt idx="43">
                  <c:v>96</c:v>
                </c:pt>
                <c:pt idx="44">
                  <c:v>97</c:v>
                </c:pt>
                <c:pt idx="45">
                  <c:v>98</c:v>
                </c:pt>
                <c:pt idx="46">
                  <c:v>99</c:v>
                </c:pt>
                <c:pt idx="47">
                  <c:v>100</c:v>
                </c:pt>
                <c:pt idx="48">
                  <c:v>101</c:v>
                </c:pt>
                <c:pt idx="49">
                  <c:v>102</c:v>
                </c:pt>
                <c:pt idx="50">
                  <c:v>103</c:v>
                </c:pt>
                <c:pt idx="51">
                  <c:v>104</c:v>
                </c:pt>
                <c:pt idx="52">
                  <c:v>105</c:v>
                </c:pt>
                <c:pt idx="53">
                  <c:v>106</c:v>
                </c:pt>
                <c:pt idx="54">
                  <c:v>107</c:v>
                </c:pt>
                <c:pt idx="55">
                  <c:v>108</c:v>
                </c:pt>
                <c:pt idx="56">
                  <c:v>109</c:v>
                </c:pt>
                <c:pt idx="57">
                  <c:v>110</c:v>
                </c:pt>
                <c:pt idx="58">
                  <c:v>111</c:v>
                </c:pt>
                <c:pt idx="59">
                  <c:v>112</c:v>
                </c:pt>
                <c:pt idx="60">
                  <c:v>113</c:v>
                </c:pt>
                <c:pt idx="61">
                  <c:v>114</c:v>
                </c:pt>
                <c:pt idx="62">
                  <c:v>115</c:v>
                </c:pt>
                <c:pt idx="63">
                  <c:v>116</c:v>
                </c:pt>
                <c:pt idx="64">
                  <c:v>117</c:v>
                </c:pt>
                <c:pt idx="65">
                  <c:v>118</c:v>
                </c:pt>
                <c:pt idx="66">
                  <c:v>119</c:v>
                </c:pt>
                <c:pt idx="67">
                  <c:v>120</c:v>
                </c:pt>
                <c:pt idx="68">
                  <c:v>121</c:v>
                </c:pt>
                <c:pt idx="69">
                  <c:v>122</c:v>
                </c:pt>
                <c:pt idx="70">
                  <c:v>123</c:v>
                </c:pt>
                <c:pt idx="71">
                  <c:v>124</c:v>
                </c:pt>
                <c:pt idx="72">
                  <c:v>125</c:v>
                </c:pt>
                <c:pt idx="73">
                  <c:v>126</c:v>
                </c:pt>
                <c:pt idx="74">
                  <c:v>127</c:v>
                </c:pt>
                <c:pt idx="75">
                  <c:v>128</c:v>
                </c:pt>
                <c:pt idx="76">
                  <c:v>129</c:v>
                </c:pt>
                <c:pt idx="77">
                  <c:v>130</c:v>
                </c:pt>
                <c:pt idx="78">
                  <c:v>131</c:v>
                </c:pt>
                <c:pt idx="79">
                  <c:v>132</c:v>
                </c:pt>
                <c:pt idx="80">
                  <c:v>133</c:v>
                </c:pt>
                <c:pt idx="81">
                  <c:v>134</c:v>
                </c:pt>
                <c:pt idx="82">
                  <c:v>135</c:v>
                </c:pt>
                <c:pt idx="83">
                  <c:v>136</c:v>
                </c:pt>
                <c:pt idx="84">
                  <c:v>137</c:v>
                </c:pt>
                <c:pt idx="85">
                  <c:v>138</c:v>
                </c:pt>
                <c:pt idx="86">
                  <c:v>139</c:v>
                </c:pt>
                <c:pt idx="87">
                  <c:v>140</c:v>
                </c:pt>
                <c:pt idx="88">
                  <c:v>141</c:v>
                </c:pt>
                <c:pt idx="89">
                  <c:v>142</c:v>
                </c:pt>
                <c:pt idx="90">
                  <c:v>143</c:v>
                </c:pt>
                <c:pt idx="91">
                  <c:v>144</c:v>
                </c:pt>
                <c:pt idx="92">
                  <c:v>145</c:v>
                </c:pt>
                <c:pt idx="93">
                  <c:v>146</c:v>
                </c:pt>
                <c:pt idx="94">
                  <c:v>147</c:v>
                </c:pt>
                <c:pt idx="95">
                  <c:v>148</c:v>
                </c:pt>
                <c:pt idx="96">
                  <c:v>149</c:v>
                </c:pt>
                <c:pt idx="97">
                  <c:v>150</c:v>
                </c:pt>
                <c:pt idx="98">
                  <c:v>151</c:v>
                </c:pt>
                <c:pt idx="99">
                  <c:v>152</c:v>
                </c:pt>
                <c:pt idx="100">
                  <c:v>153</c:v>
                </c:pt>
                <c:pt idx="101">
                  <c:v>154</c:v>
                </c:pt>
                <c:pt idx="102">
                  <c:v>155</c:v>
                </c:pt>
                <c:pt idx="103">
                  <c:v>156</c:v>
                </c:pt>
                <c:pt idx="104">
                  <c:v>157</c:v>
                </c:pt>
                <c:pt idx="105">
                  <c:v>158</c:v>
                </c:pt>
                <c:pt idx="106">
                  <c:v>159</c:v>
                </c:pt>
                <c:pt idx="107">
                  <c:v>160</c:v>
                </c:pt>
                <c:pt idx="108">
                  <c:v>161</c:v>
                </c:pt>
                <c:pt idx="109">
                  <c:v>162</c:v>
                </c:pt>
                <c:pt idx="110">
                  <c:v>163</c:v>
                </c:pt>
                <c:pt idx="111">
                  <c:v>164</c:v>
                </c:pt>
                <c:pt idx="112">
                  <c:v>165</c:v>
                </c:pt>
                <c:pt idx="113">
                  <c:v>166</c:v>
                </c:pt>
                <c:pt idx="114">
                  <c:v>167</c:v>
                </c:pt>
                <c:pt idx="115">
                  <c:v>168</c:v>
                </c:pt>
                <c:pt idx="116">
                  <c:v>169</c:v>
                </c:pt>
                <c:pt idx="117">
                  <c:v>170</c:v>
                </c:pt>
                <c:pt idx="118">
                  <c:v>171</c:v>
                </c:pt>
                <c:pt idx="119">
                  <c:v>172</c:v>
                </c:pt>
                <c:pt idx="120">
                  <c:v>173</c:v>
                </c:pt>
                <c:pt idx="121">
                  <c:v>174</c:v>
                </c:pt>
                <c:pt idx="122">
                  <c:v>175</c:v>
                </c:pt>
                <c:pt idx="123">
                  <c:v>176</c:v>
                </c:pt>
                <c:pt idx="124">
                  <c:v>177</c:v>
                </c:pt>
                <c:pt idx="125">
                  <c:v>178</c:v>
                </c:pt>
                <c:pt idx="126">
                  <c:v>179</c:v>
                </c:pt>
                <c:pt idx="127">
                  <c:v>180</c:v>
                </c:pt>
                <c:pt idx="128">
                  <c:v>181</c:v>
                </c:pt>
                <c:pt idx="129">
                  <c:v>182</c:v>
                </c:pt>
                <c:pt idx="130">
                  <c:v>183</c:v>
                </c:pt>
                <c:pt idx="131">
                  <c:v>184</c:v>
                </c:pt>
                <c:pt idx="132">
                  <c:v>185</c:v>
                </c:pt>
                <c:pt idx="133">
                  <c:v>186</c:v>
                </c:pt>
                <c:pt idx="134">
                  <c:v>187</c:v>
                </c:pt>
                <c:pt idx="135">
                  <c:v>188</c:v>
                </c:pt>
                <c:pt idx="136">
                  <c:v>189</c:v>
                </c:pt>
                <c:pt idx="137">
                  <c:v>190</c:v>
                </c:pt>
                <c:pt idx="138">
                  <c:v>191</c:v>
                </c:pt>
                <c:pt idx="139">
                  <c:v>192</c:v>
                </c:pt>
                <c:pt idx="140">
                  <c:v>193</c:v>
                </c:pt>
                <c:pt idx="141">
                  <c:v>194</c:v>
                </c:pt>
                <c:pt idx="142">
                  <c:v>195</c:v>
                </c:pt>
                <c:pt idx="143">
                  <c:v>196</c:v>
                </c:pt>
                <c:pt idx="144">
                  <c:v>197</c:v>
                </c:pt>
                <c:pt idx="145">
                  <c:v>198</c:v>
                </c:pt>
                <c:pt idx="146">
                  <c:v>199</c:v>
                </c:pt>
                <c:pt idx="147">
                  <c:v>200</c:v>
                </c:pt>
                <c:pt idx="148">
                  <c:v>201</c:v>
                </c:pt>
                <c:pt idx="149">
                  <c:v>202</c:v>
                </c:pt>
                <c:pt idx="150">
                  <c:v>203</c:v>
                </c:pt>
                <c:pt idx="151">
                  <c:v>204</c:v>
                </c:pt>
                <c:pt idx="152">
                  <c:v>205</c:v>
                </c:pt>
                <c:pt idx="153">
                  <c:v>206</c:v>
                </c:pt>
                <c:pt idx="154">
                  <c:v>207</c:v>
                </c:pt>
                <c:pt idx="155">
                  <c:v>208</c:v>
                </c:pt>
                <c:pt idx="156">
                  <c:v>209</c:v>
                </c:pt>
                <c:pt idx="157">
                  <c:v>210</c:v>
                </c:pt>
                <c:pt idx="158">
                  <c:v>211</c:v>
                </c:pt>
                <c:pt idx="159">
                  <c:v>212</c:v>
                </c:pt>
                <c:pt idx="160">
                  <c:v>213</c:v>
                </c:pt>
                <c:pt idx="161">
                  <c:v>214</c:v>
                </c:pt>
                <c:pt idx="162">
                  <c:v>215</c:v>
                </c:pt>
                <c:pt idx="163">
                  <c:v>216</c:v>
                </c:pt>
                <c:pt idx="164">
                  <c:v>217</c:v>
                </c:pt>
                <c:pt idx="165">
                  <c:v>218</c:v>
                </c:pt>
                <c:pt idx="166">
                  <c:v>219</c:v>
                </c:pt>
                <c:pt idx="167">
                  <c:v>220</c:v>
                </c:pt>
                <c:pt idx="168">
                  <c:v>221</c:v>
                </c:pt>
                <c:pt idx="169">
                  <c:v>222</c:v>
                </c:pt>
                <c:pt idx="170">
                  <c:v>223</c:v>
                </c:pt>
                <c:pt idx="171">
                  <c:v>224</c:v>
                </c:pt>
                <c:pt idx="172">
                  <c:v>225</c:v>
                </c:pt>
                <c:pt idx="173">
                  <c:v>226</c:v>
                </c:pt>
                <c:pt idx="174">
                  <c:v>227</c:v>
                </c:pt>
                <c:pt idx="175">
                  <c:v>228</c:v>
                </c:pt>
                <c:pt idx="176">
                  <c:v>229</c:v>
                </c:pt>
                <c:pt idx="177">
                  <c:v>230</c:v>
                </c:pt>
                <c:pt idx="178">
                  <c:v>231</c:v>
                </c:pt>
                <c:pt idx="179">
                  <c:v>232</c:v>
                </c:pt>
                <c:pt idx="180">
                  <c:v>233</c:v>
                </c:pt>
                <c:pt idx="181">
                  <c:v>234</c:v>
                </c:pt>
                <c:pt idx="182">
                  <c:v>235</c:v>
                </c:pt>
                <c:pt idx="183">
                  <c:v>236</c:v>
                </c:pt>
                <c:pt idx="184">
                  <c:v>237</c:v>
                </c:pt>
                <c:pt idx="185">
                  <c:v>238</c:v>
                </c:pt>
                <c:pt idx="186">
                  <c:v>239</c:v>
                </c:pt>
                <c:pt idx="187">
                  <c:v>240</c:v>
                </c:pt>
                <c:pt idx="188">
                  <c:v>241</c:v>
                </c:pt>
                <c:pt idx="189">
                  <c:v>242</c:v>
                </c:pt>
                <c:pt idx="190">
                  <c:v>243</c:v>
                </c:pt>
                <c:pt idx="191">
                  <c:v>244</c:v>
                </c:pt>
                <c:pt idx="192">
                  <c:v>245</c:v>
                </c:pt>
                <c:pt idx="193">
                  <c:v>246</c:v>
                </c:pt>
                <c:pt idx="194">
                  <c:v>247</c:v>
                </c:pt>
                <c:pt idx="195">
                  <c:v>248</c:v>
                </c:pt>
                <c:pt idx="196">
                  <c:v>249</c:v>
                </c:pt>
                <c:pt idx="197">
                  <c:v>250</c:v>
                </c:pt>
                <c:pt idx="198">
                  <c:v>251</c:v>
                </c:pt>
                <c:pt idx="199">
                  <c:v>252</c:v>
                </c:pt>
                <c:pt idx="200">
                  <c:v>253</c:v>
                </c:pt>
                <c:pt idx="201">
                  <c:v>254</c:v>
                </c:pt>
                <c:pt idx="202">
                  <c:v>255</c:v>
                </c:pt>
                <c:pt idx="203">
                  <c:v>256</c:v>
                </c:pt>
                <c:pt idx="204">
                  <c:v>257</c:v>
                </c:pt>
                <c:pt idx="205">
                  <c:v>258</c:v>
                </c:pt>
                <c:pt idx="206">
                  <c:v>259</c:v>
                </c:pt>
                <c:pt idx="207">
                  <c:v>260</c:v>
                </c:pt>
                <c:pt idx="208">
                  <c:v>261</c:v>
                </c:pt>
                <c:pt idx="209">
                  <c:v>262</c:v>
                </c:pt>
                <c:pt idx="210">
                  <c:v>263</c:v>
                </c:pt>
                <c:pt idx="211">
                  <c:v>264</c:v>
                </c:pt>
                <c:pt idx="212">
                  <c:v>265</c:v>
                </c:pt>
                <c:pt idx="213">
                  <c:v>266</c:v>
                </c:pt>
                <c:pt idx="214">
                  <c:v>267</c:v>
                </c:pt>
                <c:pt idx="215">
                  <c:v>268</c:v>
                </c:pt>
                <c:pt idx="216">
                  <c:v>269</c:v>
                </c:pt>
                <c:pt idx="217">
                  <c:v>270</c:v>
                </c:pt>
                <c:pt idx="218">
                  <c:v>271</c:v>
                </c:pt>
                <c:pt idx="219">
                  <c:v>272</c:v>
                </c:pt>
                <c:pt idx="220">
                  <c:v>273</c:v>
                </c:pt>
                <c:pt idx="221">
                  <c:v>274</c:v>
                </c:pt>
                <c:pt idx="222">
                  <c:v>275</c:v>
                </c:pt>
                <c:pt idx="223">
                  <c:v>276</c:v>
                </c:pt>
                <c:pt idx="224">
                  <c:v>277</c:v>
                </c:pt>
                <c:pt idx="225">
                  <c:v>278</c:v>
                </c:pt>
                <c:pt idx="226">
                  <c:v>279</c:v>
                </c:pt>
                <c:pt idx="227">
                  <c:v>280</c:v>
                </c:pt>
                <c:pt idx="228">
                  <c:v>281</c:v>
                </c:pt>
                <c:pt idx="229">
                  <c:v>282</c:v>
                </c:pt>
                <c:pt idx="230">
                  <c:v>283</c:v>
                </c:pt>
                <c:pt idx="231">
                  <c:v>284</c:v>
                </c:pt>
                <c:pt idx="232">
                  <c:v>285</c:v>
                </c:pt>
                <c:pt idx="233">
                  <c:v>286</c:v>
                </c:pt>
                <c:pt idx="234">
                  <c:v>287</c:v>
                </c:pt>
                <c:pt idx="235">
                  <c:v>53</c:v>
                </c:pt>
                <c:pt idx="236">
                  <c:v>108</c:v>
                </c:pt>
                <c:pt idx="237">
                  <c:v>122</c:v>
                </c:pt>
                <c:pt idx="238">
                  <c:v>141</c:v>
                </c:pt>
                <c:pt idx="239">
                  <c:v>142</c:v>
                </c:pt>
                <c:pt idx="240">
                  <c:v>142</c:v>
                </c:pt>
                <c:pt idx="241">
                  <c:v>158</c:v>
                </c:pt>
                <c:pt idx="242">
                  <c:v>172</c:v>
                </c:pt>
                <c:pt idx="243">
                  <c:v>183</c:v>
                </c:pt>
                <c:pt idx="244">
                  <c:v>190</c:v>
                </c:pt>
                <c:pt idx="245">
                  <c:v>190</c:v>
                </c:pt>
                <c:pt idx="246">
                  <c:v>207</c:v>
                </c:pt>
                <c:pt idx="247">
                  <c:v>218</c:v>
                </c:pt>
                <c:pt idx="248">
                  <c:v>227</c:v>
                </c:pt>
                <c:pt idx="249">
                  <c:v>228</c:v>
                </c:pt>
                <c:pt idx="250">
                  <c:v>228</c:v>
                </c:pt>
                <c:pt idx="251">
                  <c:v>247</c:v>
                </c:pt>
                <c:pt idx="252">
                  <c:v>262</c:v>
                </c:pt>
                <c:pt idx="253">
                  <c:v>281</c:v>
                </c:pt>
                <c:pt idx="254">
                  <c:v>281</c:v>
                </c:pt>
              </c:numCache>
            </c:numRef>
          </c:xVal>
          <c:yVal>
            <c:numRef>
              <c:f>'1996 alfalfa graphing'!$AY$5:$AY$259</c:f>
              <c:numCache>
                <c:formatCode>General</c:formatCode>
                <c:ptCount val="255"/>
                <c:pt idx="235">
                  <c:v>2</c:v>
                </c:pt>
                <c:pt idx="236">
                  <c:v>20.95</c:v>
                </c:pt>
                <c:pt idx="237">
                  <c:v>39.450000000000003</c:v>
                </c:pt>
                <c:pt idx="238">
                  <c:v>65</c:v>
                </c:pt>
                <c:pt idx="239">
                  <c:v>54</c:v>
                </c:pt>
                <c:pt idx="240">
                  <c:v>2</c:v>
                </c:pt>
                <c:pt idx="241">
                  <c:v>32.299999999999997</c:v>
                </c:pt>
                <c:pt idx="242">
                  <c:v>64.05</c:v>
                </c:pt>
                <c:pt idx="243">
                  <c:v>72.650000000000006</c:v>
                </c:pt>
                <c:pt idx="244">
                  <c:v>61.8</c:v>
                </c:pt>
                <c:pt idx="245">
                  <c:v>2</c:v>
                </c:pt>
                <c:pt idx="246">
                  <c:v>41.15</c:v>
                </c:pt>
                <c:pt idx="247">
                  <c:v>57.85</c:v>
                </c:pt>
                <c:pt idx="248">
                  <c:v>46.65</c:v>
                </c:pt>
                <c:pt idx="249">
                  <c:v>47.2</c:v>
                </c:pt>
                <c:pt idx="250">
                  <c:v>2</c:v>
                </c:pt>
                <c:pt idx="251">
                  <c:v>39.25</c:v>
                </c:pt>
                <c:pt idx="252">
                  <c:v>48.8</c:v>
                </c:pt>
                <c:pt idx="253">
                  <c:v>53.6</c:v>
                </c:pt>
                <c:pt idx="254">
                  <c:v>56</c:v>
                </c:pt>
              </c:numCache>
            </c:numRef>
          </c:yVal>
          <c:smooth val="0"/>
          <c:extLst>
            <c:ext xmlns:c16="http://schemas.microsoft.com/office/drawing/2014/chart" uri="{C3380CC4-5D6E-409C-BE32-E72D297353CC}">
              <c16:uniqueId val="{00000003-BA73-42ED-A2EC-F0D530B8C99B}"/>
            </c:ext>
          </c:extLst>
        </c:ser>
        <c:dLbls>
          <c:showLegendKey val="0"/>
          <c:showVal val="0"/>
          <c:showCatName val="0"/>
          <c:showSerName val="0"/>
          <c:showPercent val="0"/>
          <c:showBubbleSize val="0"/>
        </c:dLbls>
        <c:axId val="771875647"/>
        <c:axId val="771878143"/>
      </c:scatterChart>
      <c:valAx>
        <c:axId val="1427706400"/>
        <c:scaling>
          <c:orientation val="minMax"/>
          <c:max val="300"/>
          <c:min val="50"/>
        </c:scaling>
        <c:delete val="0"/>
        <c:axPos val="b"/>
        <c:title>
          <c:tx>
            <c:rich>
              <a:bodyPr/>
              <a:lstStyle/>
              <a:p>
                <a:pPr>
                  <a:defRPr/>
                </a:pPr>
                <a:r>
                  <a:rPr lang="en-US"/>
                  <a:t>DAY OF YEAR, 1996</a:t>
                </a:r>
              </a:p>
            </c:rich>
          </c:tx>
          <c:layout>
            <c:manualLayout>
              <c:xMode val="edge"/>
              <c:yMode val="edge"/>
              <c:x val="0.46703379310595877"/>
              <c:y val="0.84689922480620172"/>
            </c:manualLayout>
          </c:layout>
          <c:overlay val="0"/>
        </c:title>
        <c:numFmt formatCode="General" sourceLinked="1"/>
        <c:majorTickMark val="cross"/>
        <c:minorTickMark val="none"/>
        <c:tickLblPos val="nextTo"/>
        <c:txPr>
          <a:bodyPr rot="0" vert="horz"/>
          <a:lstStyle/>
          <a:p>
            <a:pPr>
              <a:defRPr/>
            </a:pPr>
            <a:endParaRPr lang="en-US"/>
          </a:p>
        </c:txPr>
        <c:crossAx val="1"/>
        <c:crosses val="autoZero"/>
        <c:crossBetween val="midCat"/>
      </c:valAx>
      <c:valAx>
        <c:axId val="1"/>
        <c:scaling>
          <c:orientation val="minMax"/>
        </c:scaling>
        <c:delete val="0"/>
        <c:axPos val="l"/>
        <c:majorGridlines/>
        <c:title>
          <c:tx>
            <c:rich>
              <a:bodyPr rot="-5400000" vert="horz"/>
              <a:lstStyle/>
              <a:p>
                <a:pPr>
                  <a:defRPr/>
                </a:pPr>
                <a:r>
                  <a:rPr lang="en-US"/>
                  <a:t>LEAF AREA INDEX</a:t>
                </a:r>
              </a:p>
            </c:rich>
          </c:tx>
          <c:layout>
            <c:manualLayout>
              <c:xMode val="edge"/>
              <c:yMode val="edge"/>
              <c:x val="2.0362139198619591E-2"/>
              <c:y val="0.29457364341085274"/>
            </c:manualLayout>
          </c:layout>
          <c:overlay val="0"/>
        </c:title>
        <c:numFmt formatCode="General" sourceLinked="1"/>
        <c:majorTickMark val="cross"/>
        <c:minorTickMark val="none"/>
        <c:tickLblPos val="nextTo"/>
        <c:txPr>
          <a:bodyPr rot="0" vert="horz"/>
          <a:lstStyle/>
          <a:p>
            <a:pPr>
              <a:defRPr/>
            </a:pPr>
            <a:endParaRPr lang="en-US"/>
          </a:p>
        </c:txPr>
        <c:crossAx val="1427706400"/>
        <c:crosses val="autoZero"/>
        <c:crossBetween val="midCat"/>
      </c:valAx>
      <c:valAx>
        <c:axId val="771878143"/>
        <c:scaling>
          <c:orientation val="minMax"/>
        </c:scaling>
        <c:delete val="0"/>
        <c:axPos val="r"/>
        <c:title>
          <c:tx>
            <c:rich>
              <a:bodyPr/>
              <a:lstStyle/>
              <a:p>
                <a:pPr>
                  <a:defRPr/>
                </a:pPr>
                <a:r>
                  <a:rPr lang="en-US"/>
                  <a:t>PLANT HEIGHT (cm)</a:t>
                </a:r>
              </a:p>
            </c:rich>
          </c:tx>
          <c:overlay val="0"/>
        </c:title>
        <c:numFmt formatCode="General" sourceLinked="1"/>
        <c:majorTickMark val="out"/>
        <c:minorTickMark val="none"/>
        <c:tickLblPos val="nextTo"/>
        <c:crossAx val="771875647"/>
        <c:crosses val="max"/>
        <c:crossBetween val="midCat"/>
      </c:valAx>
      <c:valAx>
        <c:axId val="771875647"/>
        <c:scaling>
          <c:orientation val="minMax"/>
        </c:scaling>
        <c:delete val="1"/>
        <c:axPos val="b"/>
        <c:numFmt formatCode="General" sourceLinked="1"/>
        <c:majorTickMark val="out"/>
        <c:minorTickMark val="none"/>
        <c:tickLblPos val="nextTo"/>
        <c:crossAx val="771878143"/>
        <c:crosses val="autoZero"/>
        <c:crossBetween val="midCat"/>
      </c:valAx>
    </c:plotArea>
    <c:legend>
      <c:legendPos val="b"/>
      <c:layout>
        <c:manualLayout>
          <c:xMode val="edge"/>
          <c:yMode val="edge"/>
          <c:x val="9.6525494992737534E-2"/>
          <c:y val="0.91569767441860461"/>
          <c:w val="0.8282998605756805"/>
          <c:h val="7.2674418604651167E-2"/>
        </c:manualLayout>
      </c:layout>
      <c:overlay val="0"/>
    </c:legend>
    <c:plotVisOnly val="0"/>
    <c:dispBlanksAs val="gap"/>
    <c:showDLblsOverMax val="0"/>
  </c:chart>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NE FIELD &amp; LYSIMETER ALFALFA</a:t>
            </a:r>
          </a:p>
        </c:rich>
      </c:tx>
      <c:layout>
        <c:manualLayout>
          <c:xMode val="edge"/>
          <c:yMode val="edge"/>
          <c:x val="0.23493906045249499"/>
          <c:y val="1.955034213098731E-3"/>
        </c:manualLayout>
      </c:layout>
      <c:overlay val="0"/>
    </c:title>
    <c:autoTitleDeleted val="0"/>
    <c:plotArea>
      <c:layout>
        <c:manualLayout>
          <c:layoutTarget val="inner"/>
          <c:xMode val="edge"/>
          <c:yMode val="edge"/>
          <c:x val="0.12116088581710792"/>
          <c:y val="0.15249315992372192"/>
          <c:w val="0.81823702449564939"/>
          <c:h val="0.60704004741342821"/>
        </c:manualLayout>
      </c:layout>
      <c:scatterChart>
        <c:scatterStyle val="lineMarker"/>
        <c:varyColors val="0"/>
        <c:ser>
          <c:idx val="0"/>
          <c:order val="0"/>
          <c:tx>
            <c:v>1st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graphing'!$B$5:$B$24</c:f>
              <c:numCache>
                <c:formatCode>General</c:formatCode>
                <c:ptCount val="20"/>
                <c:pt idx="0">
                  <c:v>2</c:v>
                </c:pt>
                <c:pt idx="1">
                  <c:v>0</c:v>
                </c:pt>
                <c:pt idx="2">
                  <c:v>0</c:v>
                </c:pt>
                <c:pt idx="3">
                  <c:v>0</c:v>
                </c:pt>
                <c:pt idx="4">
                  <c:v>0</c:v>
                </c:pt>
              </c:numCache>
            </c:numRef>
          </c:yVal>
          <c:smooth val="0"/>
          <c:extLst>
            <c:ext xmlns:c16="http://schemas.microsoft.com/office/drawing/2014/chart" uri="{C3380CC4-5D6E-409C-BE32-E72D297353CC}">
              <c16:uniqueId val="{00000000-ABEE-45FA-9BA3-389E5F28790E}"/>
            </c:ext>
          </c:extLst>
        </c:ser>
        <c:ser>
          <c:idx val="1"/>
          <c:order val="1"/>
          <c:tx>
            <c:v>2nd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graphing'!$F$5:$F$24</c:f>
              <c:numCache>
                <c:formatCode>General</c:formatCode>
                <c:ptCount val="20"/>
                <c:pt idx="5">
                  <c:v>2</c:v>
                </c:pt>
                <c:pt idx="6">
                  <c:v>0</c:v>
                </c:pt>
                <c:pt idx="7">
                  <c:v>0</c:v>
                </c:pt>
                <c:pt idx="8">
                  <c:v>0</c:v>
                </c:pt>
                <c:pt idx="9">
                  <c:v>0</c:v>
                </c:pt>
              </c:numCache>
            </c:numRef>
          </c:yVal>
          <c:smooth val="0"/>
          <c:extLst>
            <c:ext xmlns:c16="http://schemas.microsoft.com/office/drawing/2014/chart" uri="{C3380CC4-5D6E-409C-BE32-E72D297353CC}">
              <c16:uniqueId val="{00000001-ABEE-45FA-9BA3-389E5F28790E}"/>
            </c:ext>
          </c:extLst>
        </c:ser>
        <c:ser>
          <c:idx val="2"/>
          <c:order val="2"/>
          <c:tx>
            <c:v>3rd CUT</c:v>
          </c:tx>
          <c:marker>
            <c:symbol val="none"/>
          </c:marker>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graphing'!$J$5:$J$24</c:f>
              <c:numCache>
                <c:formatCode>General</c:formatCode>
                <c:ptCount val="20"/>
                <c:pt idx="10">
                  <c:v>2</c:v>
                </c:pt>
                <c:pt idx="11">
                  <c:v>0</c:v>
                </c:pt>
                <c:pt idx="12">
                  <c:v>0</c:v>
                </c:pt>
                <c:pt idx="13">
                  <c:v>0</c:v>
                </c:pt>
                <c:pt idx="14">
                  <c:v>0</c:v>
                </c:pt>
              </c:numCache>
            </c:numRef>
          </c:yVal>
          <c:smooth val="0"/>
          <c:extLst>
            <c:ext xmlns:c16="http://schemas.microsoft.com/office/drawing/2014/chart" uri="{C3380CC4-5D6E-409C-BE32-E72D297353CC}">
              <c16:uniqueId val="{00000002-ABEE-45FA-9BA3-389E5F28790E}"/>
            </c:ext>
          </c:extLst>
        </c:ser>
        <c:ser>
          <c:idx val="3"/>
          <c:order val="3"/>
          <c:tx>
            <c:v>4th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graphing'!$N$5:$N$24</c:f>
              <c:numCache>
                <c:formatCode>General</c:formatCode>
                <c:ptCount val="20"/>
                <c:pt idx="15">
                  <c:v>2</c:v>
                </c:pt>
                <c:pt idx="16">
                  <c:v>0</c:v>
                </c:pt>
                <c:pt idx="17">
                  <c:v>0</c:v>
                </c:pt>
                <c:pt idx="18">
                  <c:v>0</c:v>
                </c:pt>
                <c:pt idx="19">
                  <c:v>0</c:v>
                </c:pt>
              </c:numCache>
            </c:numRef>
          </c:yVal>
          <c:smooth val="0"/>
          <c:extLst>
            <c:ext xmlns:c16="http://schemas.microsoft.com/office/drawing/2014/chart" uri="{C3380CC4-5D6E-409C-BE32-E72D297353CC}">
              <c16:uniqueId val="{00000003-ABEE-45FA-9BA3-389E5F28790E}"/>
            </c:ext>
          </c:extLst>
        </c:ser>
        <c:dLbls>
          <c:showLegendKey val="0"/>
          <c:showVal val="0"/>
          <c:showCatName val="0"/>
          <c:showSerName val="0"/>
          <c:showPercent val="0"/>
          <c:showBubbleSize val="0"/>
        </c:dLbls>
        <c:axId val="1427709312"/>
        <c:axId val="1"/>
      </c:scatterChart>
      <c:valAx>
        <c:axId val="1427709312"/>
        <c:scaling>
          <c:orientation val="minMax"/>
        </c:scaling>
        <c:delete val="0"/>
        <c:axPos val="b"/>
        <c:title>
          <c:tx>
            <c:rich>
              <a:bodyPr/>
              <a:lstStyle/>
              <a:p>
                <a:pPr>
                  <a:defRPr/>
                </a:pPr>
                <a:r>
                  <a:rPr lang="en-US"/>
                  <a:t>DAY OF YEAR, 1996</a:t>
                </a:r>
              </a:p>
            </c:rich>
          </c:tx>
          <c:layout>
            <c:manualLayout>
              <c:xMode val="edge"/>
              <c:yMode val="edge"/>
              <c:x val="0.42586983328114913"/>
              <c:y val="0.83871237136413668"/>
            </c:manualLayout>
          </c:layout>
          <c:overlay val="0"/>
        </c:title>
        <c:numFmt formatCode="General" sourceLinked="1"/>
        <c:majorTickMark val="cross"/>
        <c:minorTickMark val="none"/>
        <c:tickLblPos val="nextTo"/>
        <c:txPr>
          <a:bodyPr rot="0" vert="horz"/>
          <a:lstStyle/>
          <a:p>
            <a:pPr>
              <a:defRPr/>
            </a:pPr>
            <a:endParaRPr lang="en-US"/>
          </a:p>
        </c:txPr>
        <c:crossAx val="1"/>
        <c:crosses val="autoZero"/>
        <c:crossBetween val="midCat"/>
      </c:valAx>
      <c:valAx>
        <c:axId val="1"/>
        <c:scaling>
          <c:orientation val="minMax"/>
        </c:scaling>
        <c:delete val="0"/>
        <c:axPos val="l"/>
        <c:majorGridlines/>
        <c:title>
          <c:tx>
            <c:rich>
              <a:bodyPr rot="-5400000" vert="horz"/>
              <a:lstStyle/>
              <a:p>
                <a:pPr>
                  <a:defRPr/>
                </a:pPr>
                <a:r>
                  <a:rPr lang="en-US"/>
                  <a:t>HEIGHT (cm)</a:t>
                </a:r>
              </a:p>
            </c:rich>
          </c:tx>
          <c:layout>
            <c:manualLayout>
              <c:xMode val="edge"/>
              <c:yMode val="edge"/>
              <c:x val="2.0979594045589658E-2"/>
              <c:y val="0.32844728719760469"/>
            </c:manualLayout>
          </c:layout>
          <c:overlay val="0"/>
        </c:title>
        <c:numFmt formatCode="General" sourceLinked="1"/>
        <c:majorTickMark val="cross"/>
        <c:minorTickMark val="none"/>
        <c:tickLblPos val="nextTo"/>
        <c:txPr>
          <a:bodyPr rot="0" vert="horz"/>
          <a:lstStyle/>
          <a:p>
            <a:pPr>
              <a:defRPr/>
            </a:pPr>
            <a:endParaRPr lang="en-US"/>
          </a:p>
        </c:txPr>
        <c:crossAx val="1427709312"/>
        <c:crosses val="autoZero"/>
        <c:crossBetween val="midCat"/>
      </c:valAx>
    </c:plotArea>
    <c:legend>
      <c:legendPos val="b"/>
      <c:layout>
        <c:manualLayout>
          <c:xMode val="edge"/>
          <c:yMode val="edge"/>
          <c:x val="0.23990002521564308"/>
          <c:y val="0.93255432414891481"/>
          <c:w val="0.66414428033383299"/>
          <c:h val="4.1055850748694361E-2"/>
        </c:manualLayout>
      </c:layout>
      <c:overlay val="0"/>
    </c:legend>
    <c:plotVisOnly val="0"/>
    <c:dispBlanksAs val="gap"/>
    <c:showDLblsOverMax val="0"/>
  </c:chart>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NE FIELD &amp; LYSIMETER ALFALFA\</a:t>
            </a:r>
          </a:p>
        </c:rich>
      </c:tx>
      <c:layout>
        <c:manualLayout>
          <c:xMode val="edge"/>
          <c:yMode val="edge"/>
          <c:x val="0.32070845476196497"/>
          <c:y val="4.0697674418604654E-2"/>
        </c:manualLayout>
      </c:layout>
      <c:overlay val="0"/>
    </c:title>
    <c:autoTitleDeleted val="0"/>
    <c:plotArea>
      <c:layout>
        <c:manualLayout>
          <c:layoutTarget val="inner"/>
          <c:xMode val="edge"/>
          <c:yMode val="edge"/>
          <c:x val="0.24747581548561073"/>
          <c:y val="0.15116279069767441"/>
          <c:w val="0.69192217799038092"/>
          <c:h val="0.65406976744186041"/>
        </c:manualLayout>
      </c:layout>
      <c:scatterChart>
        <c:scatterStyle val="lineMarker"/>
        <c:varyColors val="0"/>
        <c:ser>
          <c:idx val="0"/>
          <c:order val="0"/>
          <c:tx>
            <c:v>1st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graphing'!$C$5:$C$24</c:f>
              <c:numCache>
                <c:formatCode>General</c:formatCode>
                <c:ptCount val="20"/>
                <c:pt idx="0">
                  <c:v>0</c:v>
                </c:pt>
                <c:pt idx="1">
                  <c:v>0</c:v>
                </c:pt>
                <c:pt idx="2">
                  <c:v>0</c:v>
                </c:pt>
                <c:pt idx="3">
                  <c:v>0</c:v>
                </c:pt>
                <c:pt idx="4">
                  <c:v>0</c:v>
                </c:pt>
              </c:numCache>
            </c:numRef>
          </c:yVal>
          <c:smooth val="0"/>
          <c:extLst>
            <c:ext xmlns:c16="http://schemas.microsoft.com/office/drawing/2014/chart" uri="{C3380CC4-5D6E-409C-BE32-E72D297353CC}">
              <c16:uniqueId val="{00000000-77A7-44BE-A191-1C8AE21B8A43}"/>
            </c:ext>
          </c:extLst>
        </c:ser>
        <c:ser>
          <c:idx val="1"/>
          <c:order val="1"/>
          <c:tx>
            <c:v>2nd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graphing'!$G$5:$G$24</c:f>
              <c:numCache>
                <c:formatCode>General</c:formatCode>
                <c:ptCount val="20"/>
                <c:pt idx="5">
                  <c:v>0</c:v>
                </c:pt>
                <c:pt idx="6">
                  <c:v>0</c:v>
                </c:pt>
                <c:pt idx="7">
                  <c:v>0</c:v>
                </c:pt>
                <c:pt idx="8">
                  <c:v>0</c:v>
                </c:pt>
                <c:pt idx="9">
                  <c:v>0</c:v>
                </c:pt>
              </c:numCache>
            </c:numRef>
          </c:yVal>
          <c:smooth val="0"/>
          <c:extLst>
            <c:ext xmlns:c16="http://schemas.microsoft.com/office/drawing/2014/chart" uri="{C3380CC4-5D6E-409C-BE32-E72D297353CC}">
              <c16:uniqueId val="{00000001-77A7-44BE-A191-1C8AE21B8A43}"/>
            </c:ext>
          </c:extLst>
        </c:ser>
        <c:ser>
          <c:idx val="2"/>
          <c:order val="2"/>
          <c:tx>
            <c:v>3rd CUT</c:v>
          </c:tx>
          <c:marker>
            <c:symbol val="none"/>
          </c:marker>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graphing'!$K$5:$K$24</c:f>
              <c:numCache>
                <c:formatCode>General</c:formatCode>
                <c:ptCount val="20"/>
                <c:pt idx="10">
                  <c:v>0</c:v>
                </c:pt>
                <c:pt idx="11">
                  <c:v>0</c:v>
                </c:pt>
                <c:pt idx="12">
                  <c:v>0</c:v>
                </c:pt>
                <c:pt idx="13">
                  <c:v>0</c:v>
                </c:pt>
                <c:pt idx="14">
                  <c:v>0</c:v>
                </c:pt>
              </c:numCache>
            </c:numRef>
          </c:yVal>
          <c:smooth val="0"/>
          <c:extLst>
            <c:ext xmlns:c16="http://schemas.microsoft.com/office/drawing/2014/chart" uri="{C3380CC4-5D6E-409C-BE32-E72D297353CC}">
              <c16:uniqueId val="{00000002-77A7-44BE-A191-1C8AE21B8A43}"/>
            </c:ext>
          </c:extLst>
        </c:ser>
        <c:ser>
          <c:idx val="3"/>
          <c:order val="3"/>
          <c:tx>
            <c:v>4th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graphing'!$O$5:$O$24</c:f>
              <c:numCache>
                <c:formatCode>General</c:formatCode>
                <c:ptCount val="20"/>
                <c:pt idx="15">
                  <c:v>0</c:v>
                </c:pt>
                <c:pt idx="16">
                  <c:v>0</c:v>
                </c:pt>
                <c:pt idx="17">
                  <c:v>0</c:v>
                </c:pt>
                <c:pt idx="18">
                  <c:v>0</c:v>
                </c:pt>
                <c:pt idx="19">
                  <c:v>0</c:v>
                </c:pt>
              </c:numCache>
            </c:numRef>
          </c:yVal>
          <c:smooth val="0"/>
          <c:extLst>
            <c:ext xmlns:c16="http://schemas.microsoft.com/office/drawing/2014/chart" uri="{C3380CC4-5D6E-409C-BE32-E72D297353CC}">
              <c16:uniqueId val="{00000003-77A7-44BE-A191-1C8AE21B8A43}"/>
            </c:ext>
          </c:extLst>
        </c:ser>
        <c:dLbls>
          <c:showLegendKey val="0"/>
          <c:showVal val="0"/>
          <c:showCatName val="0"/>
          <c:showSerName val="0"/>
          <c:showPercent val="0"/>
          <c:showBubbleSize val="0"/>
        </c:dLbls>
        <c:axId val="1427710976"/>
        <c:axId val="1"/>
      </c:scatterChart>
      <c:valAx>
        <c:axId val="1427710976"/>
        <c:scaling>
          <c:orientation val="minMax"/>
        </c:scaling>
        <c:delete val="0"/>
        <c:axPos val="b"/>
        <c:title>
          <c:tx>
            <c:rich>
              <a:bodyPr/>
              <a:lstStyle/>
              <a:p>
                <a:pPr>
                  <a:defRPr/>
                </a:pPr>
                <a:r>
                  <a:rPr lang="en-US"/>
                  <a:t>DAY OF YEAR, 1996</a:t>
                </a:r>
              </a:p>
            </c:rich>
          </c:tx>
          <c:layout>
            <c:manualLayout>
              <c:xMode val="edge"/>
              <c:yMode val="edge"/>
              <c:x val="0.50252742124118921"/>
              <c:y val="0.85465116279069753"/>
            </c:manualLayout>
          </c:layout>
          <c:overlay val="0"/>
        </c:title>
        <c:numFmt formatCode="General" sourceLinked="1"/>
        <c:majorTickMark val="cross"/>
        <c:minorTickMark val="none"/>
        <c:tickLblPos val="nextTo"/>
        <c:txPr>
          <a:bodyPr rot="0" vert="horz"/>
          <a:lstStyle/>
          <a:p>
            <a:pPr>
              <a:defRPr/>
            </a:pPr>
            <a:endParaRPr lang="en-US"/>
          </a:p>
        </c:txPr>
        <c:crossAx val="1"/>
        <c:crosses val="autoZero"/>
        <c:crossBetween val="midCat"/>
      </c:valAx>
      <c:valAx>
        <c:axId val="1"/>
        <c:scaling>
          <c:orientation val="minMax"/>
        </c:scaling>
        <c:delete val="0"/>
        <c:axPos val="l"/>
        <c:majorGridlines/>
        <c:title>
          <c:tx>
            <c:rich>
              <a:bodyPr rot="0" vert="horz"/>
              <a:lstStyle/>
              <a:p>
                <a:pPr>
                  <a:defRPr/>
                </a:pPr>
                <a:r>
                  <a:rPr lang="en-US"/>
                  <a:t>LEAF AREA INDEX</a:t>
                </a:r>
              </a:p>
            </c:rich>
          </c:tx>
          <c:layout>
            <c:manualLayout>
              <c:xMode val="edge"/>
              <c:yMode val="edge"/>
              <c:x val="4.7980005043128611E-2"/>
              <c:y val="0.45930232558139533"/>
            </c:manualLayout>
          </c:layout>
          <c:overlay val="0"/>
        </c:title>
        <c:numFmt formatCode="General" sourceLinked="1"/>
        <c:majorTickMark val="cross"/>
        <c:minorTickMark val="none"/>
        <c:tickLblPos val="nextTo"/>
        <c:txPr>
          <a:bodyPr rot="0" vert="horz"/>
          <a:lstStyle/>
          <a:p>
            <a:pPr>
              <a:defRPr/>
            </a:pPr>
            <a:endParaRPr lang="en-US"/>
          </a:p>
        </c:txPr>
        <c:crossAx val="1427710976"/>
        <c:crosses val="autoZero"/>
        <c:crossBetween val="midCat"/>
      </c:valAx>
    </c:plotArea>
    <c:legend>
      <c:legendPos val="b"/>
      <c:layout>
        <c:manualLayout>
          <c:xMode val="edge"/>
          <c:yMode val="edge"/>
          <c:x val="0.26010213260222353"/>
          <c:y val="0.93313953488372092"/>
          <c:w val="0.66414428033383299"/>
          <c:h val="4.0697674418604654E-2"/>
        </c:manualLayout>
      </c:layout>
      <c:overlay val="0"/>
    </c:legend>
    <c:plotVisOnly val="0"/>
    <c:dispBlanksAs val="gap"/>
    <c:showDLblsOverMax val="0"/>
  </c:chart>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SE FIELD &amp; LYSIMETER ALFALFA</a:t>
            </a:r>
          </a:p>
        </c:rich>
      </c:tx>
      <c:layout>
        <c:manualLayout>
          <c:xMode val="edge"/>
          <c:yMode val="edge"/>
          <c:x val="0.32575898160861"/>
          <c:y val="4.0697674418604654E-2"/>
        </c:manualLayout>
      </c:layout>
      <c:overlay val="0"/>
    </c:title>
    <c:autoTitleDeleted val="0"/>
    <c:plotArea>
      <c:layout>
        <c:manualLayout>
          <c:layoutTarget val="inner"/>
          <c:xMode val="edge"/>
          <c:yMode val="edge"/>
          <c:x val="0.20707160071244982"/>
          <c:y val="0.15116279069767441"/>
          <c:w val="0.73232639276354194"/>
          <c:h val="0.65406976744186041"/>
        </c:manualLayout>
      </c:layout>
      <c:scatterChart>
        <c:scatterStyle val="lineMarker"/>
        <c:varyColors val="0"/>
        <c:ser>
          <c:idx val="0"/>
          <c:order val="0"/>
          <c:tx>
            <c:v>1st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graphing'!$D$5:$D$24</c:f>
              <c:numCache>
                <c:formatCode>General</c:formatCode>
                <c:ptCount val="20"/>
                <c:pt idx="0">
                  <c:v>2</c:v>
                </c:pt>
                <c:pt idx="1">
                  <c:v>0</c:v>
                </c:pt>
                <c:pt idx="2">
                  <c:v>0</c:v>
                </c:pt>
                <c:pt idx="3">
                  <c:v>0</c:v>
                </c:pt>
                <c:pt idx="4">
                  <c:v>0</c:v>
                </c:pt>
              </c:numCache>
            </c:numRef>
          </c:yVal>
          <c:smooth val="0"/>
          <c:extLst>
            <c:ext xmlns:c16="http://schemas.microsoft.com/office/drawing/2014/chart" uri="{C3380CC4-5D6E-409C-BE32-E72D297353CC}">
              <c16:uniqueId val="{00000000-0ADE-40CB-9E46-313224E9D44A}"/>
            </c:ext>
          </c:extLst>
        </c:ser>
        <c:ser>
          <c:idx val="1"/>
          <c:order val="1"/>
          <c:tx>
            <c:v>2nd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graphing'!$H$5:$H$24</c:f>
              <c:numCache>
                <c:formatCode>General</c:formatCode>
                <c:ptCount val="20"/>
                <c:pt idx="5">
                  <c:v>2</c:v>
                </c:pt>
                <c:pt idx="6">
                  <c:v>0</c:v>
                </c:pt>
                <c:pt idx="7">
                  <c:v>0</c:v>
                </c:pt>
                <c:pt idx="8">
                  <c:v>0</c:v>
                </c:pt>
                <c:pt idx="9">
                  <c:v>0</c:v>
                </c:pt>
              </c:numCache>
            </c:numRef>
          </c:yVal>
          <c:smooth val="0"/>
          <c:extLst>
            <c:ext xmlns:c16="http://schemas.microsoft.com/office/drawing/2014/chart" uri="{C3380CC4-5D6E-409C-BE32-E72D297353CC}">
              <c16:uniqueId val="{00000001-0ADE-40CB-9E46-313224E9D44A}"/>
            </c:ext>
          </c:extLst>
        </c:ser>
        <c:ser>
          <c:idx val="2"/>
          <c:order val="2"/>
          <c:tx>
            <c:v>3rd CUT</c:v>
          </c:tx>
          <c:marker>
            <c:symbol val="none"/>
          </c:marker>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graphing'!$L$5:$L$24</c:f>
              <c:numCache>
                <c:formatCode>General</c:formatCode>
                <c:ptCount val="20"/>
                <c:pt idx="10">
                  <c:v>2</c:v>
                </c:pt>
                <c:pt idx="11">
                  <c:v>0</c:v>
                </c:pt>
                <c:pt idx="12">
                  <c:v>0</c:v>
                </c:pt>
                <c:pt idx="13">
                  <c:v>0</c:v>
                </c:pt>
                <c:pt idx="14">
                  <c:v>0</c:v>
                </c:pt>
              </c:numCache>
            </c:numRef>
          </c:yVal>
          <c:smooth val="0"/>
          <c:extLst>
            <c:ext xmlns:c16="http://schemas.microsoft.com/office/drawing/2014/chart" uri="{C3380CC4-5D6E-409C-BE32-E72D297353CC}">
              <c16:uniqueId val="{00000002-0ADE-40CB-9E46-313224E9D44A}"/>
            </c:ext>
          </c:extLst>
        </c:ser>
        <c:ser>
          <c:idx val="3"/>
          <c:order val="3"/>
          <c:tx>
            <c:v>4th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graphing'!$P$5:$P$24</c:f>
              <c:numCache>
                <c:formatCode>General</c:formatCode>
                <c:ptCount val="20"/>
                <c:pt idx="15">
                  <c:v>2</c:v>
                </c:pt>
                <c:pt idx="16">
                  <c:v>0</c:v>
                </c:pt>
                <c:pt idx="17">
                  <c:v>0</c:v>
                </c:pt>
                <c:pt idx="18">
                  <c:v>0</c:v>
                </c:pt>
                <c:pt idx="19">
                  <c:v>0</c:v>
                </c:pt>
              </c:numCache>
            </c:numRef>
          </c:yVal>
          <c:smooth val="0"/>
          <c:extLst>
            <c:ext xmlns:c16="http://schemas.microsoft.com/office/drawing/2014/chart" uri="{C3380CC4-5D6E-409C-BE32-E72D297353CC}">
              <c16:uniqueId val="{00000003-0ADE-40CB-9E46-313224E9D44A}"/>
            </c:ext>
          </c:extLst>
        </c:ser>
        <c:dLbls>
          <c:showLegendKey val="0"/>
          <c:showVal val="0"/>
          <c:showCatName val="0"/>
          <c:showSerName val="0"/>
          <c:showPercent val="0"/>
          <c:showBubbleSize val="0"/>
        </c:dLbls>
        <c:axId val="1427705568"/>
        <c:axId val="1"/>
      </c:scatterChart>
      <c:valAx>
        <c:axId val="1427705568"/>
        <c:scaling>
          <c:orientation val="minMax"/>
        </c:scaling>
        <c:delete val="0"/>
        <c:axPos val="b"/>
        <c:title>
          <c:tx>
            <c:rich>
              <a:bodyPr/>
              <a:lstStyle/>
              <a:p>
                <a:pPr>
                  <a:defRPr/>
                </a:pPr>
                <a:r>
                  <a:rPr lang="en-US"/>
                  <a:t>DAY OF YEAR, 1996</a:t>
                </a:r>
              </a:p>
            </c:rich>
          </c:tx>
          <c:layout>
            <c:manualLayout>
              <c:xMode val="edge"/>
              <c:yMode val="edge"/>
              <c:x val="0.48232531385460869"/>
              <c:y val="0.85465116279069753"/>
            </c:manualLayout>
          </c:layout>
          <c:overlay val="0"/>
        </c:title>
        <c:numFmt formatCode="General" sourceLinked="1"/>
        <c:majorTickMark val="cross"/>
        <c:minorTickMark val="none"/>
        <c:tickLblPos val="nextTo"/>
        <c:txPr>
          <a:bodyPr rot="0" vert="horz"/>
          <a:lstStyle/>
          <a:p>
            <a:pPr>
              <a:defRPr/>
            </a:pPr>
            <a:endParaRPr lang="en-US"/>
          </a:p>
        </c:txPr>
        <c:crossAx val="1"/>
        <c:crosses val="autoZero"/>
        <c:crossBetween val="midCat"/>
      </c:valAx>
      <c:valAx>
        <c:axId val="1"/>
        <c:scaling>
          <c:orientation val="minMax"/>
        </c:scaling>
        <c:delete val="0"/>
        <c:axPos val="l"/>
        <c:majorGridlines/>
        <c:title>
          <c:tx>
            <c:rich>
              <a:bodyPr rot="0" vert="horz"/>
              <a:lstStyle/>
              <a:p>
                <a:pPr>
                  <a:defRPr/>
                </a:pPr>
                <a:r>
                  <a:rPr lang="en-US"/>
                  <a:t>HEIGHT (cm)</a:t>
                </a:r>
              </a:p>
            </c:rich>
          </c:tx>
          <c:layout>
            <c:manualLayout>
              <c:xMode val="edge"/>
              <c:yMode val="edge"/>
              <c:x val="4.7980005043128611E-2"/>
              <c:y val="0.45930232558139533"/>
            </c:manualLayout>
          </c:layout>
          <c:overlay val="0"/>
        </c:title>
        <c:numFmt formatCode="General" sourceLinked="1"/>
        <c:majorTickMark val="cross"/>
        <c:minorTickMark val="none"/>
        <c:tickLblPos val="nextTo"/>
        <c:txPr>
          <a:bodyPr rot="0" vert="horz"/>
          <a:lstStyle/>
          <a:p>
            <a:pPr>
              <a:defRPr/>
            </a:pPr>
            <a:endParaRPr lang="en-US"/>
          </a:p>
        </c:txPr>
        <c:crossAx val="1427705568"/>
        <c:crosses val="autoZero"/>
        <c:crossBetween val="midCat"/>
      </c:valAx>
    </c:plotArea>
    <c:legend>
      <c:legendPos val="b"/>
      <c:layout>
        <c:manualLayout>
          <c:xMode val="edge"/>
          <c:yMode val="edge"/>
          <c:x val="0.23990002521564308"/>
          <c:y val="0.93313953488372092"/>
          <c:w val="0.66414428033383299"/>
          <c:h val="4.0697674418604654E-2"/>
        </c:manualLayout>
      </c:layout>
      <c:overlay val="0"/>
    </c:legend>
    <c:plotVisOnly val="0"/>
    <c:dispBlanksAs val="gap"/>
    <c:showDLblsOverMax val="0"/>
  </c:chart>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SE FIELD &amp; LYSIMETER ALFALFA\</a:t>
            </a:r>
          </a:p>
        </c:rich>
      </c:tx>
      <c:layout>
        <c:manualLayout>
          <c:xMode val="edge"/>
          <c:yMode val="edge"/>
          <c:x val="0.32152017968816637"/>
          <c:y val="4.1055850748694361E-2"/>
        </c:manualLayout>
      </c:layout>
      <c:overlay val="0"/>
    </c:title>
    <c:autoTitleDeleted val="0"/>
    <c:plotArea>
      <c:layout>
        <c:manualLayout>
          <c:layoutTarget val="inner"/>
          <c:xMode val="edge"/>
          <c:yMode val="edge"/>
          <c:x val="0.24810218590110475"/>
          <c:y val="0.15249315992372192"/>
          <c:w val="0.69114180358164889"/>
          <c:h val="0.65102849044358213"/>
        </c:manualLayout>
      </c:layout>
      <c:scatterChart>
        <c:scatterStyle val="lineMarker"/>
        <c:varyColors val="0"/>
        <c:ser>
          <c:idx val="0"/>
          <c:order val="0"/>
          <c:tx>
            <c:v>1st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graphing'!$E$5:$E$24</c:f>
              <c:numCache>
                <c:formatCode>General</c:formatCode>
                <c:ptCount val="20"/>
                <c:pt idx="0">
                  <c:v>0</c:v>
                </c:pt>
                <c:pt idx="1">
                  <c:v>0</c:v>
                </c:pt>
                <c:pt idx="2">
                  <c:v>0</c:v>
                </c:pt>
                <c:pt idx="3">
                  <c:v>0</c:v>
                </c:pt>
                <c:pt idx="4">
                  <c:v>0</c:v>
                </c:pt>
              </c:numCache>
            </c:numRef>
          </c:yVal>
          <c:smooth val="0"/>
          <c:extLst>
            <c:ext xmlns:c16="http://schemas.microsoft.com/office/drawing/2014/chart" uri="{C3380CC4-5D6E-409C-BE32-E72D297353CC}">
              <c16:uniqueId val="{00000000-9A98-4409-8856-27499BF0687B}"/>
            </c:ext>
          </c:extLst>
        </c:ser>
        <c:ser>
          <c:idx val="1"/>
          <c:order val="1"/>
          <c:tx>
            <c:v>2nd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graphing'!$I$5:$I$24</c:f>
              <c:numCache>
                <c:formatCode>General</c:formatCode>
                <c:ptCount val="20"/>
                <c:pt idx="5">
                  <c:v>0</c:v>
                </c:pt>
                <c:pt idx="6">
                  <c:v>0</c:v>
                </c:pt>
                <c:pt idx="7">
                  <c:v>0</c:v>
                </c:pt>
                <c:pt idx="8">
                  <c:v>0</c:v>
                </c:pt>
                <c:pt idx="9">
                  <c:v>0</c:v>
                </c:pt>
              </c:numCache>
            </c:numRef>
          </c:yVal>
          <c:smooth val="0"/>
          <c:extLst>
            <c:ext xmlns:c16="http://schemas.microsoft.com/office/drawing/2014/chart" uri="{C3380CC4-5D6E-409C-BE32-E72D297353CC}">
              <c16:uniqueId val="{00000001-9A98-4409-8856-27499BF0687B}"/>
            </c:ext>
          </c:extLst>
        </c:ser>
        <c:ser>
          <c:idx val="2"/>
          <c:order val="2"/>
          <c:tx>
            <c:v>3rd CUT</c:v>
          </c:tx>
          <c:marker>
            <c:symbol val="none"/>
          </c:marker>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graphing'!$M$5:$M$24</c:f>
              <c:numCache>
                <c:formatCode>General</c:formatCode>
                <c:ptCount val="20"/>
                <c:pt idx="10">
                  <c:v>0</c:v>
                </c:pt>
                <c:pt idx="11">
                  <c:v>0</c:v>
                </c:pt>
                <c:pt idx="12">
                  <c:v>0</c:v>
                </c:pt>
                <c:pt idx="13">
                  <c:v>0</c:v>
                </c:pt>
                <c:pt idx="14">
                  <c:v>0</c:v>
                </c:pt>
              </c:numCache>
            </c:numRef>
          </c:yVal>
          <c:smooth val="0"/>
          <c:extLst>
            <c:ext xmlns:c16="http://schemas.microsoft.com/office/drawing/2014/chart" uri="{C3380CC4-5D6E-409C-BE32-E72D297353CC}">
              <c16:uniqueId val="{00000002-9A98-4409-8856-27499BF0687B}"/>
            </c:ext>
          </c:extLst>
        </c:ser>
        <c:ser>
          <c:idx val="3"/>
          <c:order val="3"/>
          <c:tx>
            <c:v>4th CUT</c:v>
          </c:tx>
          <c:xVal>
            <c:numRef>
              <c:f>'1996 alfalfa graphing'!$A$5:$A$24</c:f>
              <c:numCache>
                <c:formatCode>General</c:formatCode>
                <c:ptCount val="20"/>
                <c:pt idx="0">
                  <c:v>53</c:v>
                </c:pt>
                <c:pt idx="1">
                  <c:v>108</c:v>
                </c:pt>
                <c:pt idx="2">
                  <c:v>122</c:v>
                </c:pt>
                <c:pt idx="3">
                  <c:v>141</c:v>
                </c:pt>
                <c:pt idx="4">
                  <c:v>142</c:v>
                </c:pt>
                <c:pt idx="5">
                  <c:v>142</c:v>
                </c:pt>
                <c:pt idx="6">
                  <c:v>158</c:v>
                </c:pt>
                <c:pt idx="7">
                  <c:v>172</c:v>
                </c:pt>
                <c:pt idx="8">
                  <c:v>183</c:v>
                </c:pt>
                <c:pt idx="9">
                  <c:v>190</c:v>
                </c:pt>
                <c:pt idx="10">
                  <c:v>190</c:v>
                </c:pt>
                <c:pt idx="11">
                  <c:v>207</c:v>
                </c:pt>
                <c:pt idx="12">
                  <c:v>218</c:v>
                </c:pt>
                <c:pt idx="13">
                  <c:v>227</c:v>
                </c:pt>
                <c:pt idx="14">
                  <c:v>228</c:v>
                </c:pt>
                <c:pt idx="15">
                  <c:v>228</c:v>
                </c:pt>
                <c:pt idx="16">
                  <c:v>247</c:v>
                </c:pt>
                <c:pt idx="17">
                  <c:v>262</c:v>
                </c:pt>
                <c:pt idx="18">
                  <c:v>281</c:v>
                </c:pt>
                <c:pt idx="19">
                  <c:v>281</c:v>
                </c:pt>
              </c:numCache>
            </c:numRef>
          </c:xVal>
          <c:yVal>
            <c:numRef>
              <c:f>'1996 alfalfa graphing'!$Q$5:$Q$24</c:f>
              <c:numCache>
                <c:formatCode>General</c:formatCode>
                <c:ptCount val="20"/>
                <c:pt idx="15">
                  <c:v>0</c:v>
                </c:pt>
                <c:pt idx="16">
                  <c:v>0</c:v>
                </c:pt>
                <c:pt idx="17">
                  <c:v>0</c:v>
                </c:pt>
                <c:pt idx="18">
                  <c:v>0</c:v>
                </c:pt>
                <c:pt idx="19">
                  <c:v>0</c:v>
                </c:pt>
              </c:numCache>
            </c:numRef>
          </c:yVal>
          <c:smooth val="0"/>
          <c:extLst>
            <c:ext xmlns:c16="http://schemas.microsoft.com/office/drawing/2014/chart" uri="{C3380CC4-5D6E-409C-BE32-E72D297353CC}">
              <c16:uniqueId val="{00000003-9A98-4409-8856-27499BF0687B}"/>
            </c:ext>
          </c:extLst>
        </c:ser>
        <c:dLbls>
          <c:showLegendKey val="0"/>
          <c:showVal val="0"/>
          <c:showCatName val="0"/>
          <c:showSerName val="0"/>
          <c:showPercent val="0"/>
          <c:showBubbleSize val="0"/>
        </c:dLbls>
        <c:axId val="1427711808"/>
        <c:axId val="1"/>
      </c:scatterChart>
      <c:valAx>
        <c:axId val="1427711808"/>
        <c:scaling>
          <c:orientation val="minMax"/>
        </c:scaling>
        <c:delete val="0"/>
        <c:axPos val="b"/>
        <c:title>
          <c:tx>
            <c:rich>
              <a:bodyPr/>
              <a:lstStyle/>
              <a:p>
                <a:pPr>
                  <a:defRPr/>
                </a:pPr>
                <a:r>
                  <a:rPr lang="en-US"/>
                  <a:t>DAY OF YEAR, 1996</a:t>
                </a:r>
              </a:p>
            </c:rich>
          </c:tx>
          <c:layout>
            <c:manualLayout>
              <c:xMode val="edge"/>
              <c:yMode val="edge"/>
              <c:x val="0.50126768171855851"/>
              <c:y val="0.85337518341928986"/>
            </c:manualLayout>
          </c:layout>
          <c:overlay val="0"/>
        </c:title>
        <c:numFmt formatCode="General" sourceLinked="1"/>
        <c:majorTickMark val="cross"/>
        <c:minorTickMark val="none"/>
        <c:tickLblPos val="nextTo"/>
        <c:txPr>
          <a:bodyPr rot="0" vert="horz"/>
          <a:lstStyle/>
          <a:p>
            <a:pPr>
              <a:defRPr/>
            </a:pPr>
            <a:endParaRPr lang="en-US"/>
          </a:p>
        </c:txPr>
        <c:crossAx val="1"/>
        <c:crosses val="autoZero"/>
        <c:crossBetween val="midCat"/>
      </c:valAx>
      <c:valAx>
        <c:axId val="1"/>
        <c:scaling>
          <c:orientation val="minMax"/>
        </c:scaling>
        <c:delete val="0"/>
        <c:axPos val="l"/>
        <c:majorGridlines/>
        <c:title>
          <c:tx>
            <c:rich>
              <a:bodyPr rot="0" vert="horz"/>
              <a:lstStyle/>
              <a:p>
                <a:pPr>
                  <a:defRPr/>
                </a:pPr>
                <a:r>
                  <a:rPr lang="en-US"/>
                  <a:t>LEAF AREA INDEX</a:t>
                </a:r>
              </a:p>
            </c:rich>
          </c:tx>
          <c:layout>
            <c:manualLayout>
              <c:xMode val="edge"/>
              <c:yMode val="edge"/>
              <c:x val="4.8101444205316229E-2"/>
              <c:y val="0.46041204053892965"/>
            </c:manualLayout>
          </c:layout>
          <c:overlay val="0"/>
        </c:title>
        <c:numFmt formatCode="General" sourceLinked="1"/>
        <c:majorTickMark val="cross"/>
        <c:minorTickMark val="none"/>
        <c:tickLblPos val="nextTo"/>
        <c:txPr>
          <a:bodyPr rot="0" vert="horz"/>
          <a:lstStyle/>
          <a:p>
            <a:pPr>
              <a:defRPr/>
            </a:pPr>
            <a:endParaRPr lang="en-US"/>
          </a:p>
        </c:txPr>
        <c:crossAx val="1427711808"/>
        <c:crosses val="autoZero"/>
        <c:crossBetween val="midCat"/>
      </c:valAx>
    </c:plotArea>
    <c:legend>
      <c:legendPos val="b"/>
      <c:layout>
        <c:manualLayout>
          <c:xMode val="edge"/>
          <c:yMode val="edge"/>
          <c:x val="0.26076046069197745"/>
          <c:y val="0.93255432414891481"/>
          <c:w val="0.66582525399990367"/>
          <c:h val="4.1055850748694361E-2"/>
        </c:manualLayout>
      </c:layout>
      <c:overlay val="0"/>
    </c:legend>
    <c:plotVisOnly val="0"/>
    <c:dispBlanksAs val="gap"/>
    <c:showDLblsOverMax val="0"/>
  </c:chart>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1996 Alfalfa LAI vs HEIGHT</a:t>
            </a:r>
          </a:p>
        </c:rich>
      </c:tx>
      <c:layout>
        <c:manualLayout>
          <c:xMode val="edge"/>
          <c:yMode val="edge"/>
          <c:x val="0.29686050354816756"/>
          <c:y val="0"/>
        </c:manualLayout>
      </c:layout>
      <c:overlay val="0"/>
    </c:title>
    <c:autoTitleDeleted val="0"/>
    <c:plotArea>
      <c:layout>
        <c:manualLayout>
          <c:layoutTarget val="inner"/>
          <c:xMode val="edge"/>
          <c:yMode val="edge"/>
          <c:x val="0.10736152425391271"/>
          <c:y val="0.18313953488372095"/>
          <c:w val="0.5955633323612326"/>
          <c:h val="0.67732558139534882"/>
        </c:manualLayout>
      </c:layout>
      <c:scatterChart>
        <c:scatterStyle val="lineMarker"/>
        <c:varyColors val="0"/>
        <c:ser>
          <c:idx val="0"/>
          <c:order val="0"/>
          <c:tx>
            <c:v>NE Lys Fld 1st cut</c:v>
          </c:tx>
          <c:xVal>
            <c:numRef>
              <c:f>'1996 alfalfa graphing'!$A$106:$N$106</c:f>
              <c:numCache>
                <c:formatCode>General</c:formatCode>
                <c:ptCount val="14"/>
                <c:pt idx="0">
                  <c:v>21</c:v>
                </c:pt>
                <c:pt idx="1">
                  <c:v>39.5</c:v>
                </c:pt>
                <c:pt idx="2">
                  <c:v>65</c:v>
                </c:pt>
                <c:pt idx="3">
                  <c:v>32.299999999999997</c:v>
                </c:pt>
                <c:pt idx="4">
                  <c:v>64.099999999999994</c:v>
                </c:pt>
                <c:pt idx="5">
                  <c:v>72.7</c:v>
                </c:pt>
                <c:pt idx="6">
                  <c:v>41.2</c:v>
                </c:pt>
                <c:pt idx="7">
                  <c:v>20.399999999999999</c:v>
                </c:pt>
                <c:pt idx="8">
                  <c:v>37.6</c:v>
                </c:pt>
                <c:pt idx="9">
                  <c:v>64</c:v>
                </c:pt>
                <c:pt idx="10">
                  <c:v>28.2</c:v>
                </c:pt>
                <c:pt idx="11">
                  <c:v>64.099999999999994</c:v>
                </c:pt>
                <c:pt idx="12">
                  <c:v>70.2</c:v>
                </c:pt>
                <c:pt idx="13">
                  <c:v>40.5</c:v>
                </c:pt>
              </c:numCache>
            </c:numRef>
          </c:xVal>
          <c:yVal>
            <c:numRef>
              <c:f>'1996 alfalfa graphing'!$A$107:$N$107</c:f>
              <c:numCache>
                <c:formatCode>General</c:formatCode>
                <c:ptCount val="14"/>
                <c:pt idx="0">
                  <c:v>4.04</c:v>
                </c:pt>
                <c:pt idx="1">
                  <c:v>6.06</c:v>
                </c:pt>
                <c:pt idx="2">
                  <c:v>7.44</c:v>
                </c:pt>
              </c:numCache>
            </c:numRef>
          </c:yVal>
          <c:smooth val="0"/>
          <c:extLst>
            <c:ext xmlns:c16="http://schemas.microsoft.com/office/drawing/2014/chart" uri="{C3380CC4-5D6E-409C-BE32-E72D297353CC}">
              <c16:uniqueId val="{00000000-52BC-4B4E-AB08-6F8996971C36}"/>
            </c:ext>
          </c:extLst>
        </c:ser>
        <c:ser>
          <c:idx val="1"/>
          <c:order val="1"/>
          <c:tx>
            <c:v>NE Lys Fld 2nd cut</c:v>
          </c:tx>
          <c:xVal>
            <c:numRef>
              <c:f>'1996 alfalfa graphing'!$A$106:$N$106</c:f>
              <c:numCache>
                <c:formatCode>General</c:formatCode>
                <c:ptCount val="14"/>
                <c:pt idx="0">
                  <c:v>21</c:v>
                </c:pt>
                <c:pt idx="1">
                  <c:v>39.5</c:v>
                </c:pt>
                <c:pt idx="2">
                  <c:v>65</c:v>
                </c:pt>
                <c:pt idx="3">
                  <c:v>32.299999999999997</c:v>
                </c:pt>
                <c:pt idx="4">
                  <c:v>64.099999999999994</c:v>
                </c:pt>
                <c:pt idx="5">
                  <c:v>72.7</c:v>
                </c:pt>
                <c:pt idx="6">
                  <c:v>41.2</c:v>
                </c:pt>
                <c:pt idx="7">
                  <c:v>20.399999999999999</c:v>
                </c:pt>
                <c:pt idx="8">
                  <c:v>37.6</c:v>
                </c:pt>
                <c:pt idx="9">
                  <c:v>64</c:v>
                </c:pt>
                <c:pt idx="10">
                  <c:v>28.2</c:v>
                </c:pt>
                <c:pt idx="11">
                  <c:v>64.099999999999994</c:v>
                </c:pt>
                <c:pt idx="12">
                  <c:v>70.2</c:v>
                </c:pt>
                <c:pt idx="13">
                  <c:v>40.5</c:v>
                </c:pt>
              </c:numCache>
            </c:numRef>
          </c:xVal>
          <c:yVal>
            <c:numRef>
              <c:f>'1996 alfalfa graphing'!$A$108:$N$108</c:f>
              <c:numCache>
                <c:formatCode>General</c:formatCode>
                <c:ptCount val="14"/>
                <c:pt idx="3">
                  <c:v>3.23</c:v>
                </c:pt>
                <c:pt idx="4">
                  <c:v>4.0999999999999996</c:v>
                </c:pt>
                <c:pt idx="5">
                  <c:v>4.18</c:v>
                </c:pt>
              </c:numCache>
            </c:numRef>
          </c:yVal>
          <c:smooth val="0"/>
          <c:extLst>
            <c:ext xmlns:c16="http://schemas.microsoft.com/office/drawing/2014/chart" uri="{C3380CC4-5D6E-409C-BE32-E72D297353CC}">
              <c16:uniqueId val="{00000001-52BC-4B4E-AB08-6F8996971C36}"/>
            </c:ext>
          </c:extLst>
        </c:ser>
        <c:ser>
          <c:idx val="2"/>
          <c:order val="2"/>
          <c:tx>
            <c:v>NE Lys Fld 3rd cut</c:v>
          </c:tx>
          <c:marker>
            <c:symbol val="none"/>
          </c:marker>
          <c:xVal>
            <c:numRef>
              <c:f>'1996 alfalfa graphing'!$A$106:$N$106</c:f>
              <c:numCache>
                <c:formatCode>General</c:formatCode>
                <c:ptCount val="14"/>
                <c:pt idx="0">
                  <c:v>21</c:v>
                </c:pt>
                <c:pt idx="1">
                  <c:v>39.5</c:v>
                </c:pt>
                <c:pt idx="2">
                  <c:v>65</c:v>
                </c:pt>
                <c:pt idx="3">
                  <c:v>32.299999999999997</c:v>
                </c:pt>
                <c:pt idx="4">
                  <c:v>64.099999999999994</c:v>
                </c:pt>
                <c:pt idx="5">
                  <c:v>72.7</c:v>
                </c:pt>
                <c:pt idx="6">
                  <c:v>41.2</c:v>
                </c:pt>
                <c:pt idx="7">
                  <c:v>20.399999999999999</c:v>
                </c:pt>
                <c:pt idx="8">
                  <c:v>37.6</c:v>
                </c:pt>
                <c:pt idx="9">
                  <c:v>64</c:v>
                </c:pt>
                <c:pt idx="10">
                  <c:v>28.2</c:v>
                </c:pt>
                <c:pt idx="11">
                  <c:v>64.099999999999994</c:v>
                </c:pt>
                <c:pt idx="12">
                  <c:v>70.2</c:v>
                </c:pt>
                <c:pt idx="13">
                  <c:v>40.5</c:v>
                </c:pt>
              </c:numCache>
            </c:numRef>
          </c:xVal>
          <c:yVal>
            <c:numRef>
              <c:f>'1996 alfalfa graphing'!$A$109:$N$109</c:f>
              <c:numCache>
                <c:formatCode>General</c:formatCode>
                <c:ptCount val="14"/>
                <c:pt idx="6">
                  <c:v>3.33</c:v>
                </c:pt>
              </c:numCache>
            </c:numRef>
          </c:yVal>
          <c:smooth val="0"/>
          <c:extLst>
            <c:ext xmlns:c16="http://schemas.microsoft.com/office/drawing/2014/chart" uri="{C3380CC4-5D6E-409C-BE32-E72D297353CC}">
              <c16:uniqueId val="{00000002-52BC-4B4E-AB08-6F8996971C36}"/>
            </c:ext>
          </c:extLst>
        </c:ser>
        <c:ser>
          <c:idx val="3"/>
          <c:order val="3"/>
          <c:tx>
            <c:v>SE Lys Fld 1st cut</c:v>
          </c:tx>
          <c:xVal>
            <c:numRef>
              <c:f>'1996 alfalfa graphing'!$A$106:$N$106</c:f>
              <c:numCache>
                <c:formatCode>General</c:formatCode>
                <c:ptCount val="14"/>
                <c:pt idx="0">
                  <c:v>21</c:v>
                </c:pt>
                <c:pt idx="1">
                  <c:v>39.5</c:v>
                </c:pt>
                <c:pt idx="2">
                  <c:v>65</c:v>
                </c:pt>
                <c:pt idx="3">
                  <c:v>32.299999999999997</c:v>
                </c:pt>
                <c:pt idx="4">
                  <c:v>64.099999999999994</c:v>
                </c:pt>
                <c:pt idx="5">
                  <c:v>72.7</c:v>
                </c:pt>
                <c:pt idx="6">
                  <c:v>41.2</c:v>
                </c:pt>
                <c:pt idx="7">
                  <c:v>20.399999999999999</c:v>
                </c:pt>
                <c:pt idx="8">
                  <c:v>37.6</c:v>
                </c:pt>
                <c:pt idx="9">
                  <c:v>64</c:v>
                </c:pt>
                <c:pt idx="10">
                  <c:v>28.2</c:v>
                </c:pt>
                <c:pt idx="11">
                  <c:v>64.099999999999994</c:v>
                </c:pt>
                <c:pt idx="12">
                  <c:v>70.2</c:v>
                </c:pt>
                <c:pt idx="13">
                  <c:v>40.5</c:v>
                </c:pt>
              </c:numCache>
            </c:numRef>
          </c:xVal>
          <c:yVal>
            <c:numRef>
              <c:f>'1996 alfalfa graphing'!$A$110:$N$110</c:f>
              <c:numCache>
                <c:formatCode>General</c:formatCode>
                <c:ptCount val="14"/>
                <c:pt idx="7">
                  <c:v>3.94</c:v>
                </c:pt>
                <c:pt idx="8">
                  <c:v>6.4</c:v>
                </c:pt>
                <c:pt idx="9">
                  <c:v>6.44</c:v>
                </c:pt>
              </c:numCache>
            </c:numRef>
          </c:yVal>
          <c:smooth val="0"/>
          <c:extLst>
            <c:ext xmlns:c16="http://schemas.microsoft.com/office/drawing/2014/chart" uri="{C3380CC4-5D6E-409C-BE32-E72D297353CC}">
              <c16:uniqueId val="{00000003-52BC-4B4E-AB08-6F8996971C36}"/>
            </c:ext>
          </c:extLst>
        </c:ser>
        <c:ser>
          <c:idx val="4"/>
          <c:order val="4"/>
          <c:tx>
            <c:v>SE Lys Fld 2nd Cut</c:v>
          </c:tx>
          <c:xVal>
            <c:numRef>
              <c:f>'1996 alfalfa graphing'!$A$106:$N$106</c:f>
              <c:numCache>
                <c:formatCode>General</c:formatCode>
                <c:ptCount val="14"/>
                <c:pt idx="0">
                  <c:v>21</c:v>
                </c:pt>
                <c:pt idx="1">
                  <c:v>39.5</c:v>
                </c:pt>
                <c:pt idx="2">
                  <c:v>65</c:v>
                </c:pt>
                <c:pt idx="3">
                  <c:v>32.299999999999997</c:v>
                </c:pt>
                <c:pt idx="4">
                  <c:v>64.099999999999994</c:v>
                </c:pt>
                <c:pt idx="5">
                  <c:v>72.7</c:v>
                </c:pt>
                <c:pt idx="6">
                  <c:v>41.2</c:v>
                </c:pt>
                <c:pt idx="7">
                  <c:v>20.399999999999999</c:v>
                </c:pt>
                <c:pt idx="8">
                  <c:v>37.6</c:v>
                </c:pt>
                <c:pt idx="9">
                  <c:v>64</c:v>
                </c:pt>
                <c:pt idx="10">
                  <c:v>28.2</c:v>
                </c:pt>
                <c:pt idx="11">
                  <c:v>64.099999999999994</c:v>
                </c:pt>
                <c:pt idx="12">
                  <c:v>70.2</c:v>
                </c:pt>
                <c:pt idx="13">
                  <c:v>40.5</c:v>
                </c:pt>
              </c:numCache>
            </c:numRef>
          </c:xVal>
          <c:yVal>
            <c:numRef>
              <c:f>'1996 alfalfa graphing'!$A$111:$N$111</c:f>
              <c:numCache>
                <c:formatCode>General</c:formatCode>
                <c:ptCount val="14"/>
                <c:pt idx="10">
                  <c:v>3.1</c:v>
                </c:pt>
                <c:pt idx="11">
                  <c:v>4.09</c:v>
                </c:pt>
                <c:pt idx="12">
                  <c:v>4.97</c:v>
                </c:pt>
              </c:numCache>
            </c:numRef>
          </c:yVal>
          <c:smooth val="0"/>
          <c:extLst>
            <c:ext xmlns:c16="http://schemas.microsoft.com/office/drawing/2014/chart" uri="{C3380CC4-5D6E-409C-BE32-E72D297353CC}">
              <c16:uniqueId val="{00000004-52BC-4B4E-AB08-6F8996971C36}"/>
            </c:ext>
          </c:extLst>
        </c:ser>
        <c:ser>
          <c:idx val="5"/>
          <c:order val="5"/>
          <c:tx>
            <c:v>SE Lys Fld 3rd cut</c:v>
          </c:tx>
          <c:xVal>
            <c:numRef>
              <c:f>'1996 alfalfa graphing'!$A$106:$N$106</c:f>
              <c:numCache>
                <c:formatCode>General</c:formatCode>
                <c:ptCount val="14"/>
                <c:pt idx="0">
                  <c:v>21</c:v>
                </c:pt>
                <c:pt idx="1">
                  <c:v>39.5</c:v>
                </c:pt>
                <c:pt idx="2">
                  <c:v>65</c:v>
                </c:pt>
                <c:pt idx="3">
                  <c:v>32.299999999999997</c:v>
                </c:pt>
                <c:pt idx="4">
                  <c:v>64.099999999999994</c:v>
                </c:pt>
                <c:pt idx="5">
                  <c:v>72.7</c:v>
                </c:pt>
                <c:pt idx="6">
                  <c:v>41.2</c:v>
                </c:pt>
                <c:pt idx="7">
                  <c:v>20.399999999999999</c:v>
                </c:pt>
                <c:pt idx="8">
                  <c:v>37.6</c:v>
                </c:pt>
                <c:pt idx="9">
                  <c:v>64</c:v>
                </c:pt>
                <c:pt idx="10">
                  <c:v>28.2</c:v>
                </c:pt>
                <c:pt idx="11">
                  <c:v>64.099999999999994</c:v>
                </c:pt>
                <c:pt idx="12">
                  <c:v>70.2</c:v>
                </c:pt>
                <c:pt idx="13">
                  <c:v>40.5</c:v>
                </c:pt>
              </c:numCache>
            </c:numRef>
          </c:xVal>
          <c:yVal>
            <c:numRef>
              <c:f>'1996 alfalfa graphing'!$A$112:$N$112</c:f>
              <c:numCache>
                <c:formatCode>General</c:formatCode>
                <c:ptCount val="14"/>
                <c:pt idx="13">
                  <c:v>3.59</c:v>
                </c:pt>
              </c:numCache>
            </c:numRef>
          </c:yVal>
          <c:smooth val="0"/>
          <c:extLst>
            <c:ext xmlns:c16="http://schemas.microsoft.com/office/drawing/2014/chart" uri="{C3380CC4-5D6E-409C-BE32-E72D297353CC}">
              <c16:uniqueId val="{00000005-52BC-4B4E-AB08-6F8996971C36}"/>
            </c:ext>
          </c:extLst>
        </c:ser>
        <c:dLbls>
          <c:showLegendKey val="0"/>
          <c:showVal val="0"/>
          <c:showCatName val="0"/>
          <c:showSerName val="0"/>
          <c:showPercent val="0"/>
          <c:showBubbleSize val="0"/>
        </c:dLbls>
        <c:axId val="1427707648"/>
        <c:axId val="1"/>
      </c:scatterChart>
      <c:valAx>
        <c:axId val="1427707648"/>
        <c:scaling>
          <c:orientation val="minMax"/>
        </c:scaling>
        <c:delete val="0"/>
        <c:axPos val="b"/>
        <c:majorGridlines/>
        <c:title>
          <c:tx>
            <c:rich>
              <a:bodyPr/>
              <a:lstStyle/>
              <a:p>
                <a:pPr>
                  <a:defRPr/>
                </a:pPr>
                <a:r>
                  <a:rPr lang="en-US"/>
                  <a:t>CROP HEIGHT, cm</a:t>
                </a:r>
              </a:p>
            </c:rich>
          </c:tx>
          <c:layout>
            <c:manualLayout>
              <c:xMode val="edge"/>
              <c:yMode val="edge"/>
              <c:x val="0.3746849338098317"/>
              <c:y val="0.9098837209302324"/>
            </c:manualLayout>
          </c:layout>
          <c:overlay val="0"/>
        </c:title>
        <c:numFmt formatCode="General" sourceLinked="1"/>
        <c:majorTickMark val="cross"/>
        <c:minorTickMark val="none"/>
        <c:tickLblPos val="nextTo"/>
        <c:txPr>
          <a:bodyPr rot="0" vert="horz"/>
          <a:lstStyle/>
          <a:p>
            <a:pPr>
              <a:defRPr/>
            </a:pPr>
            <a:endParaRPr lang="en-US"/>
          </a:p>
        </c:txPr>
        <c:crossAx val="1"/>
        <c:crosses val="autoZero"/>
        <c:crossBetween val="midCat"/>
      </c:valAx>
      <c:valAx>
        <c:axId val="1"/>
        <c:scaling>
          <c:orientation val="minMax"/>
        </c:scaling>
        <c:delete val="0"/>
        <c:axPos val="l"/>
        <c:majorGridlines/>
        <c:title>
          <c:tx>
            <c:rich>
              <a:bodyPr rot="-5400000" vert="horz"/>
              <a:lstStyle/>
              <a:p>
                <a:pPr>
                  <a:defRPr/>
                </a:pPr>
                <a:r>
                  <a:rPr lang="en-US"/>
                  <a:t>LEAF AREA INDEX</a:t>
                </a:r>
              </a:p>
            </c:rich>
          </c:tx>
          <c:layout>
            <c:manualLayout>
              <c:xMode val="edge"/>
              <c:yMode val="edge"/>
              <c:x val="1.8471857684456108E-2"/>
              <c:y val="0.32364341085271314"/>
            </c:manualLayout>
          </c:layout>
          <c:overlay val="0"/>
        </c:title>
        <c:numFmt formatCode="General" sourceLinked="1"/>
        <c:majorTickMark val="cross"/>
        <c:minorTickMark val="none"/>
        <c:tickLblPos val="nextTo"/>
        <c:txPr>
          <a:bodyPr rot="0" vert="horz"/>
          <a:lstStyle/>
          <a:p>
            <a:pPr>
              <a:defRPr/>
            </a:pPr>
            <a:endParaRPr lang="en-US"/>
          </a:p>
        </c:txPr>
        <c:crossAx val="1427707648"/>
        <c:crosses val="autoZero"/>
        <c:crossBetween val="midCat"/>
      </c:valAx>
    </c:plotArea>
    <c:legend>
      <c:legendPos val="r"/>
      <c:layout>
        <c:manualLayout>
          <c:xMode val="edge"/>
          <c:yMode val="edge"/>
          <c:x val="0.7139266982052197"/>
          <c:y val="0.42441860465116282"/>
          <c:w val="0.26076046069197745"/>
          <c:h val="0.19476744186046513"/>
        </c:manualLayout>
      </c:layout>
      <c:overlay val="0"/>
    </c:legend>
    <c:plotVisOnly val="0"/>
    <c:dispBlanksAs val="gap"/>
    <c:showDLblsOverMax val="0"/>
  </c:chart>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52</xdr:col>
      <xdr:colOff>655320</xdr:colOff>
      <xdr:row>0</xdr:row>
      <xdr:rowOff>22860</xdr:rowOff>
    </xdr:from>
    <xdr:to>
      <xdr:col>61</xdr:col>
      <xdr:colOff>83820</xdr:colOff>
      <xdr:row>13</xdr:row>
      <xdr:rowOff>60960</xdr:rowOff>
    </xdr:to>
    <xdr:graphicFrame macro="">
      <xdr:nvGraphicFramePr>
        <xdr:cNvPr id="2" name="Chart 1">
          <a:extLst>
            <a:ext uri="{FF2B5EF4-FFF2-40B4-BE49-F238E27FC236}">
              <a16:creationId xmlns:a16="http://schemas.microsoft.com/office/drawing/2014/main" id="{1DBC3599-B7EB-40F6-8EE7-3BC5344C42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61</xdr:col>
      <xdr:colOff>320040</xdr:colOff>
      <xdr:row>0</xdr:row>
      <xdr:rowOff>0</xdr:rowOff>
    </xdr:from>
    <xdr:to>
      <xdr:col>69</xdr:col>
      <xdr:colOff>167640</xdr:colOff>
      <xdr:row>13</xdr:row>
      <xdr:rowOff>38100</xdr:rowOff>
    </xdr:to>
    <xdr:graphicFrame macro="">
      <xdr:nvGraphicFramePr>
        <xdr:cNvPr id="3" name="Chart 2">
          <a:extLst>
            <a:ext uri="{FF2B5EF4-FFF2-40B4-BE49-F238E27FC236}">
              <a16:creationId xmlns:a16="http://schemas.microsoft.com/office/drawing/2014/main" id="{5E5D68E7-32B8-467F-888B-0377542BE6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61</xdr:col>
      <xdr:colOff>342900</xdr:colOff>
      <xdr:row>13</xdr:row>
      <xdr:rowOff>190500</xdr:rowOff>
    </xdr:from>
    <xdr:to>
      <xdr:col>69</xdr:col>
      <xdr:colOff>152400</xdr:colOff>
      <xdr:row>27</xdr:row>
      <xdr:rowOff>15240</xdr:rowOff>
    </xdr:to>
    <xdr:graphicFrame macro="">
      <xdr:nvGraphicFramePr>
        <xdr:cNvPr id="7" name="Chart 6">
          <a:extLst>
            <a:ext uri="{FF2B5EF4-FFF2-40B4-BE49-F238E27FC236}">
              <a16:creationId xmlns:a16="http://schemas.microsoft.com/office/drawing/2014/main" id="{02ECAB4B-A558-4CB6-9479-129596447D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52</xdr:col>
      <xdr:colOff>632460</xdr:colOff>
      <xdr:row>14</xdr:row>
      <xdr:rowOff>7620</xdr:rowOff>
    </xdr:from>
    <xdr:to>
      <xdr:col>61</xdr:col>
      <xdr:colOff>91440</xdr:colOff>
      <xdr:row>27</xdr:row>
      <xdr:rowOff>53340</xdr:rowOff>
    </xdr:to>
    <xdr:graphicFrame macro="">
      <xdr:nvGraphicFramePr>
        <xdr:cNvPr id="8" name="Chart 7">
          <a:extLst>
            <a:ext uri="{FF2B5EF4-FFF2-40B4-BE49-F238E27FC236}">
              <a16:creationId xmlns:a16="http://schemas.microsoft.com/office/drawing/2014/main" id="{5555AAC7-B1DC-4B37-9ED0-9D7A283FDD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61</xdr:col>
      <xdr:colOff>350520</xdr:colOff>
      <xdr:row>28</xdr:row>
      <xdr:rowOff>0</xdr:rowOff>
    </xdr:from>
    <xdr:to>
      <xdr:col>69</xdr:col>
      <xdr:colOff>160020</xdr:colOff>
      <xdr:row>41</xdr:row>
      <xdr:rowOff>22860</xdr:rowOff>
    </xdr:to>
    <xdr:graphicFrame macro="">
      <xdr:nvGraphicFramePr>
        <xdr:cNvPr id="9" name="Chart 8">
          <a:extLst>
            <a:ext uri="{FF2B5EF4-FFF2-40B4-BE49-F238E27FC236}">
              <a16:creationId xmlns:a16="http://schemas.microsoft.com/office/drawing/2014/main" id="{CB234F7A-72C7-4D87-8303-8BF79A829C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52</xdr:col>
      <xdr:colOff>647700</xdr:colOff>
      <xdr:row>27</xdr:row>
      <xdr:rowOff>160020</xdr:rowOff>
    </xdr:from>
    <xdr:to>
      <xdr:col>61</xdr:col>
      <xdr:colOff>99060</xdr:colOff>
      <xdr:row>41</xdr:row>
      <xdr:rowOff>7620</xdr:rowOff>
    </xdr:to>
    <xdr:graphicFrame macro="">
      <xdr:nvGraphicFramePr>
        <xdr:cNvPr id="10" name="Chart 9">
          <a:extLst>
            <a:ext uri="{FF2B5EF4-FFF2-40B4-BE49-F238E27FC236}">
              <a16:creationId xmlns:a16="http://schemas.microsoft.com/office/drawing/2014/main" id="{89E3C1D4-C180-45F5-8CC2-983C18D960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61</xdr:col>
      <xdr:colOff>381000</xdr:colOff>
      <xdr:row>41</xdr:row>
      <xdr:rowOff>144780</xdr:rowOff>
    </xdr:from>
    <xdr:to>
      <xdr:col>69</xdr:col>
      <xdr:colOff>160020</xdr:colOff>
      <xdr:row>54</xdr:row>
      <xdr:rowOff>190500</xdr:rowOff>
    </xdr:to>
    <xdr:graphicFrame macro="">
      <xdr:nvGraphicFramePr>
        <xdr:cNvPr id="11" name="Chart 10">
          <a:extLst>
            <a:ext uri="{FF2B5EF4-FFF2-40B4-BE49-F238E27FC236}">
              <a16:creationId xmlns:a16="http://schemas.microsoft.com/office/drawing/2014/main" id="{140F3523-393F-49BF-B97C-1D2C44A240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53</xdr:col>
      <xdr:colOff>83820</xdr:colOff>
      <xdr:row>41</xdr:row>
      <xdr:rowOff>144780</xdr:rowOff>
    </xdr:from>
    <xdr:to>
      <xdr:col>61</xdr:col>
      <xdr:colOff>106680</xdr:colOff>
      <xdr:row>54</xdr:row>
      <xdr:rowOff>167640</xdr:rowOff>
    </xdr:to>
    <xdr:graphicFrame macro="">
      <xdr:nvGraphicFramePr>
        <xdr:cNvPr id="12" name="Chart 11">
          <a:extLst>
            <a:ext uri="{FF2B5EF4-FFF2-40B4-BE49-F238E27FC236}">
              <a16:creationId xmlns:a16="http://schemas.microsoft.com/office/drawing/2014/main" id="{8AF98F04-8A42-4665-954A-A95EFE2634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61</xdr:col>
      <xdr:colOff>388620</xdr:colOff>
      <xdr:row>55</xdr:row>
      <xdr:rowOff>91440</xdr:rowOff>
    </xdr:from>
    <xdr:to>
      <xdr:col>69</xdr:col>
      <xdr:colOff>167640</xdr:colOff>
      <xdr:row>68</xdr:row>
      <xdr:rowOff>137160</xdr:rowOff>
    </xdr:to>
    <xdr:graphicFrame macro="">
      <xdr:nvGraphicFramePr>
        <xdr:cNvPr id="13" name="Chart 12">
          <a:extLst>
            <a:ext uri="{FF2B5EF4-FFF2-40B4-BE49-F238E27FC236}">
              <a16:creationId xmlns:a16="http://schemas.microsoft.com/office/drawing/2014/main" id="{F68BE5A7-66C7-4B83-91D4-2B300A45AA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53</xdr:col>
      <xdr:colOff>175260</xdr:colOff>
      <xdr:row>55</xdr:row>
      <xdr:rowOff>106680</xdr:rowOff>
    </xdr:from>
    <xdr:to>
      <xdr:col>61</xdr:col>
      <xdr:colOff>137160</xdr:colOff>
      <xdr:row>68</xdr:row>
      <xdr:rowOff>152400</xdr:rowOff>
    </xdr:to>
    <xdr:graphicFrame macro="">
      <xdr:nvGraphicFramePr>
        <xdr:cNvPr id="15" name="Chart 14">
          <a:extLst>
            <a:ext uri="{FF2B5EF4-FFF2-40B4-BE49-F238E27FC236}">
              <a16:creationId xmlns:a16="http://schemas.microsoft.com/office/drawing/2014/main" id="{005D2110-03C0-4D62-B485-C20948152A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61</xdr:col>
      <xdr:colOff>411480</xdr:colOff>
      <xdr:row>69</xdr:row>
      <xdr:rowOff>38100</xdr:rowOff>
    </xdr:from>
    <xdr:to>
      <xdr:col>69</xdr:col>
      <xdr:colOff>144780</xdr:colOff>
      <xdr:row>86</xdr:row>
      <xdr:rowOff>175260</xdr:rowOff>
    </xdr:to>
    <xdr:graphicFrame macro="">
      <xdr:nvGraphicFramePr>
        <xdr:cNvPr id="16" name="Chart 15">
          <a:extLst>
            <a:ext uri="{FF2B5EF4-FFF2-40B4-BE49-F238E27FC236}">
              <a16:creationId xmlns:a16="http://schemas.microsoft.com/office/drawing/2014/main" id="{4ABCD25A-7919-4AAE-8294-7FC3D6065A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8BA4F-CBCF-4B9B-AD28-3DB3B3E6D15B}">
  <dimension ref="A1:D57"/>
  <sheetViews>
    <sheetView tabSelected="1" workbookViewId="0">
      <selection activeCell="B39" sqref="B39"/>
    </sheetView>
  </sheetViews>
  <sheetFormatPr defaultColWidth="7.875" defaultRowHeight="12.75" x14ac:dyDescent="0.2"/>
  <cols>
    <col min="1" max="1" width="26.125" style="16" customWidth="1"/>
    <col min="2" max="2" width="53.375" style="16" customWidth="1"/>
    <col min="3" max="16384" width="7.875" style="16"/>
  </cols>
  <sheetData>
    <row r="1" spans="1:2" x14ac:dyDescent="0.2">
      <c r="A1" s="15" t="s">
        <v>63</v>
      </c>
      <c r="B1" s="16" t="s">
        <v>64</v>
      </c>
    </row>
    <row r="2" spans="1:2" x14ac:dyDescent="0.2">
      <c r="A2" s="15" t="s">
        <v>161</v>
      </c>
      <c r="B2" s="16" t="s">
        <v>128</v>
      </c>
    </row>
    <row r="3" spans="1:2" x14ac:dyDescent="0.2">
      <c r="A3" s="15" t="s">
        <v>162</v>
      </c>
      <c r="B3" s="16" t="s">
        <v>164</v>
      </c>
    </row>
    <row r="4" spans="1:2" x14ac:dyDescent="0.2">
      <c r="A4" s="15" t="s">
        <v>163</v>
      </c>
      <c r="B4" s="16" t="s">
        <v>89</v>
      </c>
    </row>
    <row r="5" spans="1:2" x14ac:dyDescent="0.2">
      <c r="A5" s="15" t="s">
        <v>165</v>
      </c>
      <c r="B5" s="16" t="s">
        <v>166</v>
      </c>
    </row>
    <row r="6" spans="1:2" x14ac:dyDescent="0.2">
      <c r="A6" s="15" t="s">
        <v>146</v>
      </c>
      <c r="B6" s="16" t="s">
        <v>167</v>
      </c>
    </row>
    <row r="7" spans="1:2" x14ac:dyDescent="0.2">
      <c r="A7" s="15" t="s">
        <v>168</v>
      </c>
      <c r="B7" s="16" t="s">
        <v>127</v>
      </c>
    </row>
    <row r="8" spans="1:2" ht="24.6" customHeight="1" x14ac:dyDescent="0.2">
      <c r="A8" s="17" t="s">
        <v>65</v>
      </c>
    </row>
    <row r="9" spans="1:2" ht="15" x14ac:dyDescent="0.2">
      <c r="A9" s="18" t="s">
        <v>66</v>
      </c>
    </row>
    <row r="10" spans="1:2" ht="15" x14ac:dyDescent="0.2">
      <c r="A10" s="16" t="s">
        <v>67</v>
      </c>
      <c r="B10" s="19" t="s">
        <v>68</v>
      </c>
    </row>
    <row r="11" spans="1:2" ht="15" x14ac:dyDescent="0.2">
      <c r="A11" s="16" t="s">
        <v>67</v>
      </c>
      <c r="B11" s="19" t="s">
        <v>133</v>
      </c>
    </row>
    <row r="12" spans="1:2" ht="15" x14ac:dyDescent="0.2">
      <c r="A12" s="16" t="s">
        <v>67</v>
      </c>
      <c r="B12" s="18" t="s">
        <v>69</v>
      </c>
    </row>
    <row r="13" spans="1:2" ht="15" x14ac:dyDescent="0.2">
      <c r="A13" s="16" t="s">
        <v>67</v>
      </c>
      <c r="B13" s="19" t="s">
        <v>70</v>
      </c>
    </row>
    <row r="14" spans="1:2" ht="15" x14ac:dyDescent="0.2">
      <c r="A14" s="16" t="s">
        <v>67</v>
      </c>
      <c r="B14" s="19" t="s">
        <v>71</v>
      </c>
    </row>
    <row r="15" spans="1:2" ht="15" x14ac:dyDescent="0.2">
      <c r="A15" s="16" t="s">
        <v>67</v>
      </c>
      <c r="B15" s="19" t="s">
        <v>72</v>
      </c>
    </row>
    <row r="16" spans="1:2" ht="15" x14ac:dyDescent="0.2">
      <c r="A16" s="16" t="s">
        <v>67</v>
      </c>
      <c r="B16" s="19" t="s">
        <v>73</v>
      </c>
    </row>
    <row r="17" spans="1:2" ht="15" x14ac:dyDescent="0.2">
      <c r="A17" s="18" t="s">
        <v>74</v>
      </c>
    </row>
    <row r="18" spans="1:2" ht="15" x14ac:dyDescent="0.2">
      <c r="A18" s="18" t="s">
        <v>75</v>
      </c>
    </row>
    <row r="19" spans="1:2" ht="18.75" x14ac:dyDescent="0.2">
      <c r="A19" s="17" t="s">
        <v>76</v>
      </c>
    </row>
    <row r="20" spans="1:2" ht="15" x14ac:dyDescent="0.2">
      <c r="A20" s="18" t="s">
        <v>77</v>
      </c>
    </row>
    <row r="21" spans="1:2" ht="15" x14ac:dyDescent="0.2">
      <c r="A21" s="18" t="s">
        <v>78</v>
      </c>
    </row>
    <row r="22" spans="1:2" ht="15" x14ac:dyDescent="0.2">
      <c r="A22" s="18" t="s">
        <v>79</v>
      </c>
    </row>
    <row r="23" spans="1:2" ht="15" x14ac:dyDescent="0.2">
      <c r="A23" s="18" t="s">
        <v>80</v>
      </c>
    </row>
    <row r="24" spans="1:2" ht="18.75" x14ac:dyDescent="0.2">
      <c r="A24" s="17" t="s">
        <v>81</v>
      </c>
    </row>
    <row r="25" spans="1:2" ht="15" x14ac:dyDescent="0.2">
      <c r="A25" s="18" t="s">
        <v>82</v>
      </c>
    </row>
    <row r="26" spans="1:2" x14ac:dyDescent="0.2">
      <c r="A26" s="16" t="s">
        <v>83</v>
      </c>
    </row>
    <row r="27" spans="1:2" x14ac:dyDescent="0.2">
      <c r="A27" s="16" t="s">
        <v>84</v>
      </c>
    </row>
    <row r="28" spans="1:2" ht="16.899999999999999" customHeight="1" x14ac:dyDescent="0.2">
      <c r="A28" s="18" t="s">
        <v>85</v>
      </c>
    </row>
    <row r="29" spans="1:2" ht="16.899999999999999" customHeight="1" x14ac:dyDescent="0.2">
      <c r="A29" s="18" t="s">
        <v>86</v>
      </c>
    </row>
    <row r="30" spans="1:2" x14ac:dyDescent="0.2">
      <c r="A30" s="15" t="s">
        <v>129</v>
      </c>
      <c r="B30" s="16" t="s">
        <v>87</v>
      </c>
    </row>
    <row r="31" spans="1:2" x14ac:dyDescent="0.2">
      <c r="A31" s="15" t="s">
        <v>53</v>
      </c>
      <c r="B31" s="16" t="s">
        <v>98</v>
      </c>
    </row>
    <row r="32" spans="1:2" x14ac:dyDescent="0.2">
      <c r="A32" s="15" t="s">
        <v>131</v>
      </c>
      <c r="B32" s="16" t="s">
        <v>97</v>
      </c>
    </row>
    <row r="33" spans="1:2" x14ac:dyDescent="0.2">
      <c r="A33" s="15" t="s">
        <v>130</v>
      </c>
      <c r="B33" s="16" t="s">
        <v>94</v>
      </c>
    </row>
    <row r="34" spans="1:2" x14ac:dyDescent="0.2">
      <c r="A34" s="15" t="s">
        <v>92</v>
      </c>
      <c r="B34" s="16" t="s">
        <v>93</v>
      </c>
    </row>
    <row r="35" spans="1:2" x14ac:dyDescent="0.2">
      <c r="A35" s="15" t="s">
        <v>96</v>
      </c>
      <c r="B35" s="16" t="s">
        <v>95</v>
      </c>
    </row>
    <row r="36" spans="1:2" x14ac:dyDescent="0.2">
      <c r="A36" s="15" t="s">
        <v>91</v>
      </c>
      <c r="B36" s="16" t="s">
        <v>90</v>
      </c>
    </row>
    <row r="37" spans="1:2" x14ac:dyDescent="0.2">
      <c r="A37" s="16" t="s">
        <v>99</v>
      </c>
      <c r="B37" s="16" t="s">
        <v>132</v>
      </c>
    </row>
    <row r="38" spans="1:2" x14ac:dyDescent="0.2">
      <c r="A38" s="15" t="s">
        <v>101</v>
      </c>
      <c r="B38" s="16" t="s">
        <v>100</v>
      </c>
    </row>
    <row r="39" spans="1:2" x14ac:dyDescent="0.2">
      <c r="A39" s="15" t="s">
        <v>169</v>
      </c>
      <c r="B39" s="40" t="s">
        <v>170</v>
      </c>
    </row>
    <row r="40" spans="1:2" x14ac:dyDescent="0.2">
      <c r="A40" s="15" t="s">
        <v>171</v>
      </c>
      <c r="B40" s="16" t="s">
        <v>172</v>
      </c>
    </row>
    <row r="41" spans="1:2" x14ac:dyDescent="0.2">
      <c r="A41" s="15" t="s">
        <v>138</v>
      </c>
      <c r="B41" s="16" t="s">
        <v>173</v>
      </c>
    </row>
    <row r="42" spans="1:2" x14ac:dyDescent="0.2">
      <c r="A42" s="15" t="s">
        <v>7</v>
      </c>
      <c r="B42" s="16" t="s">
        <v>174</v>
      </c>
    </row>
    <row r="43" spans="1:2" x14ac:dyDescent="0.2">
      <c r="A43" s="15" t="s">
        <v>175</v>
      </c>
      <c r="B43" s="16" t="s">
        <v>176</v>
      </c>
    </row>
    <row r="44" spans="1:2" x14ac:dyDescent="0.2">
      <c r="A44" s="16" t="s">
        <v>177</v>
      </c>
      <c r="B44" s="16" t="s">
        <v>178</v>
      </c>
    </row>
    <row r="45" spans="1:2" x14ac:dyDescent="0.2">
      <c r="A45" s="15" t="s">
        <v>139</v>
      </c>
      <c r="B45" s="40" t="s">
        <v>179</v>
      </c>
    </row>
    <row r="46" spans="1:2" x14ac:dyDescent="0.2">
      <c r="A46" s="15"/>
    </row>
    <row r="47" spans="1:2" x14ac:dyDescent="0.2">
      <c r="A47" s="15"/>
    </row>
    <row r="48" spans="1:2" x14ac:dyDescent="0.2">
      <c r="A48" s="15"/>
    </row>
    <row r="49" spans="1:4" x14ac:dyDescent="0.2">
      <c r="A49" s="15"/>
    </row>
    <row r="50" spans="1:4" x14ac:dyDescent="0.2">
      <c r="A50" s="15"/>
    </row>
    <row r="51" spans="1:4" x14ac:dyDescent="0.2">
      <c r="A51" s="15"/>
    </row>
    <row r="52" spans="1:4" x14ac:dyDescent="0.2">
      <c r="A52" s="20"/>
      <c r="B52" s="20"/>
    </row>
    <row r="53" spans="1:4" x14ac:dyDescent="0.2">
      <c r="A53" s="15"/>
    </row>
    <row r="54" spans="1:4" x14ac:dyDescent="0.2">
      <c r="A54" s="15"/>
      <c r="B54" s="21"/>
      <c r="C54" s="22"/>
      <c r="D54" s="23"/>
    </row>
    <row r="55" spans="1:4" x14ac:dyDescent="0.2">
      <c r="A55" s="15"/>
      <c r="B55" s="21"/>
      <c r="C55" s="22"/>
      <c r="D55" s="23"/>
    </row>
    <row r="57" spans="1:4" x14ac:dyDescent="0.2">
      <c r="B57" s="24"/>
    </row>
  </sheetData>
  <conditionalFormatting sqref="C55">
    <cfRule type="cellIs" dxfId="0" priority="1" stopIfTrue="1" operator="between">
      <formula>-999.899999999999</formula>
      <formula>-40</formula>
    </cfRule>
  </conditionalFormatting>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9A1E9-F80E-4487-8428-07773CAE9A6E}">
  <dimension ref="A1:H17"/>
  <sheetViews>
    <sheetView workbookViewId="0"/>
  </sheetViews>
  <sheetFormatPr defaultColWidth="8.75" defaultRowHeight="12.75" x14ac:dyDescent="0.25"/>
  <cols>
    <col min="1" max="1" width="16.5" style="42" customWidth="1"/>
    <col min="2" max="2" width="24" style="42" customWidth="1"/>
    <col min="3" max="3" width="73.75" style="42" customWidth="1"/>
    <col min="4" max="4" width="18.375" style="42" customWidth="1"/>
    <col min="5" max="5" width="10.25" style="42" customWidth="1"/>
    <col min="6" max="6" width="11.25" style="42" customWidth="1"/>
    <col min="7" max="7" width="10.5" style="42" customWidth="1"/>
    <col min="8" max="8" width="11" style="42" customWidth="1"/>
    <col min="9" max="16384" width="8.75" style="42"/>
  </cols>
  <sheetData>
    <row r="1" spans="1:8" ht="25.5" x14ac:dyDescent="0.25">
      <c r="A1" s="41" t="s">
        <v>102</v>
      </c>
      <c r="B1" s="41" t="s">
        <v>103</v>
      </c>
      <c r="C1" s="41" t="s">
        <v>104</v>
      </c>
      <c r="D1" s="41" t="s">
        <v>105</v>
      </c>
      <c r="E1" s="41" t="s">
        <v>106</v>
      </c>
      <c r="F1" s="41" t="s">
        <v>107</v>
      </c>
      <c r="G1" s="41" t="s">
        <v>108</v>
      </c>
      <c r="H1" s="41" t="s">
        <v>109</v>
      </c>
    </row>
    <row r="2" spans="1:8" x14ac:dyDescent="0.25">
      <c r="A2" s="43" t="s">
        <v>88</v>
      </c>
      <c r="B2" s="45" t="s">
        <v>51</v>
      </c>
      <c r="C2" s="44" t="s">
        <v>110</v>
      </c>
      <c r="D2" s="46" t="s">
        <v>111</v>
      </c>
      <c r="E2" s="43">
        <v>10</v>
      </c>
      <c r="F2" s="43"/>
      <c r="G2" s="43" t="s">
        <v>112</v>
      </c>
      <c r="H2" s="43" t="s">
        <v>113</v>
      </c>
    </row>
    <row r="3" spans="1:8" x14ac:dyDescent="0.25">
      <c r="A3" s="43" t="s">
        <v>88</v>
      </c>
      <c r="B3" s="47" t="s">
        <v>52</v>
      </c>
      <c r="C3" s="44" t="s">
        <v>114</v>
      </c>
      <c r="D3" s="44" t="s">
        <v>115</v>
      </c>
      <c r="E3" s="43">
        <v>3</v>
      </c>
      <c r="F3" s="43" t="s">
        <v>116</v>
      </c>
      <c r="G3" s="43" t="s">
        <v>112</v>
      </c>
      <c r="H3" s="43" t="s">
        <v>113</v>
      </c>
    </row>
    <row r="4" spans="1:8" ht="38.25" x14ac:dyDescent="0.25">
      <c r="A4" s="43" t="s">
        <v>88</v>
      </c>
      <c r="B4" s="47" t="s">
        <v>53</v>
      </c>
      <c r="C4" s="44" t="s">
        <v>180</v>
      </c>
      <c r="D4" s="44" t="s">
        <v>120</v>
      </c>
      <c r="E4" s="43" t="s">
        <v>121</v>
      </c>
      <c r="F4" s="43"/>
      <c r="G4" s="43" t="s">
        <v>112</v>
      </c>
      <c r="H4" s="43" t="s">
        <v>113</v>
      </c>
    </row>
    <row r="5" spans="1:8" x14ac:dyDescent="0.25">
      <c r="A5" s="43" t="s">
        <v>88</v>
      </c>
      <c r="B5" s="47" t="s">
        <v>152</v>
      </c>
      <c r="C5" s="44" t="s">
        <v>122</v>
      </c>
      <c r="D5" s="44" t="s">
        <v>117</v>
      </c>
      <c r="E5" s="43" t="s">
        <v>121</v>
      </c>
      <c r="F5" s="43"/>
      <c r="G5" s="43" t="s">
        <v>112</v>
      </c>
      <c r="H5" s="43" t="s">
        <v>113</v>
      </c>
    </row>
    <row r="6" spans="1:8" x14ac:dyDescent="0.25">
      <c r="A6" s="43" t="s">
        <v>88</v>
      </c>
      <c r="B6" s="47" t="s">
        <v>153</v>
      </c>
      <c r="C6" s="44" t="s">
        <v>134</v>
      </c>
      <c r="D6" s="44" t="s">
        <v>117</v>
      </c>
      <c r="E6" s="43"/>
      <c r="F6" s="43"/>
      <c r="G6" s="43" t="s">
        <v>112</v>
      </c>
      <c r="H6" s="43" t="s">
        <v>113</v>
      </c>
    </row>
    <row r="7" spans="1:8" x14ac:dyDescent="0.25">
      <c r="A7" s="43" t="s">
        <v>88</v>
      </c>
      <c r="B7" s="48" t="s">
        <v>154</v>
      </c>
      <c r="C7" s="44" t="s">
        <v>123</v>
      </c>
      <c r="D7" s="44" t="s">
        <v>117</v>
      </c>
      <c r="E7" s="43"/>
      <c r="F7" s="43"/>
      <c r="G7" s="43" t="s">
        <v>112</v>
      </c>
      <c r="H7" s="43" t="s">
        <v>113</v>
      </c>
    </row>
    <row r="8" spans="1:8" x14ac:dyDescent="0.25">
      <c r="A8" s="43" t="s">
        <v>88</v>
      </c>
      <c r="B8" s="48" t="s">
        <v>155</v>
      </c>
      <c r="C8" s="44" t="s">
        <v>135</v>
      </c>
      <c r="D8" s="44" t="s">
        <v>117</v>
      </c>
      <c r="E8" s="43"/>
      <c r="F8" s="43" t="s">
        <v>118</v>
      </c>
      <c r="G8" s="43" t="s">
        <v>112</v>
      </c>
      <c r="H8" s="43" t="s">
        <v>113</v>
      </c>
    </row>
    <row r="9" spans="1:8" x14ac:dyDescent="0.25">
      <c r="A9" s="43" t="s">
        <v>88</v>
      </c>
      <c r="B9" s="48" t="s">
        <v>156</v>
      </c>
      <c r="C9" s="44" t="s">
        <v>181</v>
      </c>
      <c r="D9" s="44" t="s">
        <v>117</v>
      </c>
      <c r="E9" s="43"/>
      <c r="F9" s="43"/>
      <c r="G9" s="43" t="s">
        <v>112</v>
      </c>
      <c r="H9" s="43" t="s">
        <v>113</v>
      </c>
    </row>
    <row r="10" spans="1:8" x14ac:dyDescent="0.25">
      <c r="A10" s="43" t="s">
        <v>88</v>
      </c>
      <c r="B10" s="48" t="s">
        <v>157</v>
      </c>
      <c r="C10" s="44" t="s">
        <v>182</v>
      </c>
      <c r="D10" s="44" t="s">
        <v>117</v>
      </c>
      <c r="E10" s="43"/>
      <c r="F10" s="43"/>
      <c r="G10" s="43" t="s">
        <v>112</v>
      </c>
      <c r="H10" s="43" t="s">
        <v>113</v>
      </c>
    </row>
    <row r="11" spans="1:8" x14ac:dyDescent="0.25">
      <c r="A11" s="43" t="s">
        <v>88</v>
      </c>
      <c r="B11" s="47" t="s">
        <v>158</v>
      </c>
      <c r="C11" s="44" t="s">
        <v>183</v>
      </c>
      <c r="D11" s="44" t="s">
        <v>117</v>
      </c>
      <c r="E11" s="43"/>
      <c r="F11" s="43"/>
      <c r="G11" s="43" t="s">
        <v>112</v>
      </c>
      <c r="H11" s="43" t="s">
        <v>126</v>
      </c>
    </row>
    <row r="12" spans="1:8" x14ac:dyDescent="0.25">
      <c r="A12" s="43" t="s">
        <v>88</v>
      </c>
      <c r="B12" s="47" t="s">
        <v>159</v>
      </c>
      <c r="C12" s="44" t="s">
        <v>124</v>
      </c>
      <c r="D12" s="44" t="s">
        <v>117</v>
      </c>
      <c r="E12" s="43"/>
      <c r="F12" s="43"/>
      <c r="G12" s="43" t="s">
        <v>112</v>
      </c>
      <c r="H12" s="43" t="s">
        <v>126</v>
      </c>
    </row>
    <row r="13" spans="1:8" ht="25.5" x14ac:dyDescent="0.25">
      <c r="A13" s="43" t="s">
        <v>88</v>
      </c>
      <c r="B13" s="47" t="s">
        <v>9</v>
      </c>
      <c r="C13" s="44" t="s">
        <v>136</v>
      </c>
      <c r="D13" s="44" t="s">
        <v>117</v>
      </c>
      <c r="E13" s="43"/>
      <c r="F13" s="43"/>
      <c r="G13" s="43" t="s">
        <v>112</v>
      </c>
      <c r="H13" s="43" t="s">
        <v>113</v>
      </c>
    </row>
    <row r="14" spans="1:8" ht="38.25" x14ac:dyDescent="0.25">
      <c r="A14" s="43" t="s">
        <v>88</v>
      </c>
      <c r="B14" s="47" t="s">
        <v>54</v>
      </c>
      <c r="C14" s="44" t="s">
        <v>160</v>
      </c>
      <c r="D14" s="44" t="s">
        <v>115</v>
      </c>
      <c r="E14" s="43">
        <v>1</v>
      </c>
      <c r="F14" s="43" t="s">
        <v>125</v>
      </c>
      <c r="G14" s="43" t="s">
        <v>112</v>
      </c>
      <c r="H14" s="43" t="s">
        <v>113</v>
      </c>
    </row>
    <row r="15" spans="1:8" x14ac:dyDescent="0.25">
      <c r="A15" s="43"/>
      <c r="B15" s="44"/>
      <c r="C15" s="44"/>
      <c r="D15" s="44"/>
      <c r="E15" s="43"/>
      <c r="F15" s="43"/>
      <c r="G15" s="43"/>
      <c r="H15" s="43"/>
    </row>
    <row r="16" spans="1:8" x14ac:dyDescent="0.25">
      <c r="A16" s="43"/>
      <c r="B16" s="44"/>
      <c r="C16" s="44"/>
      <c r="D16" s="44"/>
      <c r="E16" s="43"/>
      <c r="F16" s="43"/>
      <c r="G16" s="43"/>
      <c r="H16" s="43"/>
    </row>
    <row r="17" spans="1:8" x14ac:dyDescent="0.25">
      <c r="A17" s="43"/>
      <c r="B17" s="44"/>
      <c r="C17" s="44"/>
      <c r="D17" s="44"/>
      <c r="E17" s="43"/>
      <c r="F17" s="43"/>
      <c r="G17" s="43"/>
      <c r="H17" s="43"/>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9"/>
  <sheetViews>
    <sheetView zoomScaleNormal="100" workbookViewId="0">
      <pane ySplit="1" topLeftCell="A2" activePane="bottomLeft" state="frozen"/>
      <selection pane="bottomLeft" activeCell="A130" sqref="A130"/>
    </sheetView>
  </sheetViews>
  <sheetFormatPr defaultColWidth="8" defaultRowHeight="15.75" x14ac:dyDescent="0.25"/>
  <cols>
    <col min="1" max="1" width="10.25" style="5" bestFit="1" customWidth="1"/>
    <col min="2" max="2" width="12" style="13" customWidth="1"/>
    <col min="3" max="3" width="10.375" customWidth="1"/>
    <col min="4" max="4" width="10.25" customWidth="1"/>
    <col min="5" max="5" width="14.125" customWidth="1"/>
    <col min="6" max="6" width="12.875" customWidth="1"/>
    <col min="7" max="7" width="9.5" customWidth="1"/>
    <col min="8" max="8" width="10.125" customWidth="1"/>
    <col min="9" max="10" width="9.875" customWidth="1"/>
    <col min="11" max="11" width="12.25" customWidth="1"/>
  </cols>
  <sheetData>
    <row r="1" spans="1:14" s="9" customFormat="1" ht="47.25" x14ac:dyDescent="0.25">
      <c r="A1" s="7" t="s">
        <v>51</v>
      </c>
      <c r="B1" s="14" t="s">
        <v>52</v>
      </c>
      <c r="C1" s="8" t="s">
        <v>53</v>
      </c>
      <c r="D1" s="12" t="s">
        <v>152</v>
      </c>
      <c r="E1" s="12" t="s">
        <v>153</v>
      </c>
      <c r="F1" s="11" t="s">
        <v>154</v>
      </c>
      <c r="G1" s="11" t="s">
        <v>155</v>
      </c>
      <c r="H1" s="11" t="s">
        <v>156</v>
      </c>
      <c r="I1" s="11" t="s">
        <v>157</v>
      </c>
      <c r="J1" s="12" t="s">
        <v>158</v>
      </c>
      <c r="K1" s="12" t="s">
        <v>159</v>
      </c>
      <c r="L1" s="10" t="s">
        <v>9</v>
      </c>
      <c r="M1" s="8" t="s">
        <v>54</v>
      </c>
      <c r="N1" s="8"/>
    </row>
    <row r="2" spans="1:14" x14ac:dyDescent="0.25">
      <c r="A2" s="5">
        <v>35172</v>
      </c>
      <c r="B2" s="13">
        <v>108</v>
      </c>
      <c r="C2" s="2" t="s">
        <v>34</v>
      </c>
      <c r="D2" s="2">
        <f>(21+23+23+21+22)/5</f>
        <v>22</v>
      </c>
      <c r="E2" s="2">
        <v>2226.4</v>
      </c>
      <c r="F2" s="2">
        <v>128</v>
      </c>
      <c r="G2" s="2">
        <v>2459</v>
      </c>
      <c r="H2" s="2">
        <v>12</v>
      </c>
      <c r="I2" s="2">
        <v>13.1</v>
      </c>
      <c r="J2" s="2">
        <v>400.2</v>
      </c>
      <c r="K2" s="2">
        <f>SUM(H2:J2)</f>
        <v>425.3</v>
      </c>
      <c r="L2" s="3">
        <f>(E2*G2/F2)/10000</f>
        <v>4.2771231250000001</v>
      </c>
      <c r="M2">
        <v>1</v>
      </c>
    </row>
    <row r="3" spans="1:14" x14ac:dyDescent="0.25">
      <c r="A3" s="5">
        <v>35172</v>
      </c>
      <c r="B3" s="13">
        <v>108</v>
      </c>
      <c r="C3" t="s">
        <v>35</v>
      </c>
      <c r="D3">
        <f>(21+18+21+20+21)/5</f>
        <v>20.2</v>
      </c>
      <c r="E3">
        <v>1974.1</v>
      </c>
      <c r="F3">
        <v>133.9</v>
      </c>
      <c r="G3">
        <v>2428</v>
      </c>
      <c r="H3">
        <v>14.3</v>
      </c>
      <c r="I3">
        <v>13.7</v>
      </c>
      <c r="J3">
        <v>359.4</v>
      </c>
      <c r="K3">
        <f>SUM(H3:J3)</f>
        <v>387.4</v>
      </c>
      <c r="L3" s="1">
        <f>(E3*G3/F3)/10000</f>
        <v>3.5796227035100818</v>
      </c>
      <c r="M3">
        <v>1</v>
      </c>
    </row>
    <row r="4" spans="1:14" x14ac:dyDescent="0.25">
      <c r="A4" s="5">
        <v>35172</v>
      </c>
      <c r="B4" s="13">
        <v>108</v>
      </c>
      <c r="C4" t="s">
        <v>36</v>
      </c>
      <c r="D4">
        <f>(19+19+21+20+20)/5</f>
        <v>19.8</v>
      </c>
      <c r="E4">
        <v>1877.4</v>
      </c>
      <c r="F4">
        <v>124.8</v>
      </c>
      <c r="G4">
        <v>2464</v>
      </c>
      <c r="H4">
        <v>13.2</v>
      </c>
      <c r="I4">
        <v>12.3</v>
      </c>
      <c r="J4">
        <v>359.4</v>
      </c>
      <c r="K4">
        <f>SUM(H4:J4)</f>
        <v>384.9</v>
      </c>
      <c r="L4" s="1">
        <f>(E4*G4/F4)/10000</f>
        <v>3.7066615384615389</v>
      </c>
      <c r="M4">
        <v>1</v>
      </c>
    </row>
    <row r="5" spans="1:14" x14ac:dyDescent="0.25">
      <c r="A5" s="5">
        <v>35172</v>
      </c>
      <c r="B5" s="13">
        <v>108</v>
      </c>
      <c r="C5" t="s">
        <v>37</v>
      </c>
      <c r="D5">
        <f>(18+19+20+21+20)/5</f>
        <v>19.600000000000001</v>
      </c>
      <c r="E5">
        <v>1945.4</v>
      </c>
      <c r="F5">
        <v>131.4</v>
      </c>
      <c r="G5">
        <v>2844</v>
      </c>
      <c r="H5">
        <v>12.9</v>
      </c>
      <c r="I5">
        <v>12.8</v>
      </c>
      <c r="J5">
        <v>351.5</v>
      </c>
      <c r="K5">
        <f>SUM(H5:J5)</f>
        <v>377.2</v>
      </c>
      <c r="L5" s="1">
        <f>(E5*G5/F5)/10000</f>
        <v>4.2105917808219182</v>
      </c>
      <c r="M5">
        <v>1</v>
      </c>
    </row>
    <row r="6" spans="1:14" x14ac:dyDescent="0.25">
      <c r="A6" s="5">
        <v>35172</v>
      </c>
      <c r="B6" s="13">
        <v>108</v>
      </c>
      <c r="C6" t="s">
        <v>18</v>
      </c>
      <c r="D6">
        <f>(20+20+18+20+19)/5</f>
        <v>19.399999999999999</v>
      </c>
      <c r="E6">
        <v>1948.7</v>
      </c>
      <c r="F6">
        <v>130.30000000000001</v>
      </c>
      <c r="G6">
        <v>2395</v>
      </c>
      <c r="H6">
        <v>12.8</v>
      </c>
      <c r="I6">
        <v>14.4</v>
      </c>
      <c r="J6">
        <v>383.3</v>
      </c>
      <c r="K6">
        <f>SUM(H6:J6)</f>
        <v>410.5</v>
      </c>
      <c r="L6" s="1">
        <f>(E6*G6/F6)/10000</f>
        <v>3.5818392171910971</v>
      </c>
      <c r="M6">
        <v>1</v>
      </c>
    </row>
    <row r="7" spans="1:14" x14ac:dyDescent="0.25">
      <c r="A7" s="5">
        <v>35172</v>
      </c>
      <c r="B7" s="13">
        <v>108</v>
      </c>
      <c r="C7" t="s">
        <v>19</v>
      </c>
      <c r="D7">
        <f>(21+20+23+22+20)/5</f>
        <v>21.2</v>
      </c>
      <c r="E7">
        <v>2121</v>
      </c>
      <c r="F7">
        <v>122.6</v>
      </c>
      <c r="G7">
        <v>2010</v>
      </c>
      <c r="H7">
        <v>13</v>
      </c>
      <c r="I7">
        <v>10.8</v>
      </c>
      <c r="J7">
        <v>385.3</v>
      </c>
      <c r="K7">
        <f>SUM(H7:J7)</f>
        <v>409.1</v>
      </c>
      <c r="L7" s="1">
        <f>(E7*G7/F7)/10000</f>
        <v>3.4773327895595436</v>
      </c>
      <c r="M7">
        <v>1</v>
      </c>
    </row>
    <row r="8" spans="1:14" x14ac:dyDescent="0.25">
      <c r="A8" s="5">
        <v>35172</v>
      </c>
      <c r="B8" s="13">
        <v>108</v>
      </c>
      <c r="C8" t="s">
        <v>20</v>
      </c>
      <c r="D8">
        <f>(23+20+20+23+19)/5</f>
        <v>21</v>
      </c>
      <c r="E8">
        <v>2377.3000000000002</v>
      </c>
      <c r="F8">
        <v>127.6</v>
      </c>
      <c r="G8">
        <v>2170</v>
      </c>
      <c r="H8">
        <v>13.6</v>
      </c>
      <c r="I8">
        <v>10.8</v>
      </c>
      <c r="J8">
        <v>435.7</v>
      </c>
      <c r="K8">
        <f>SUM(H8:J8)</f>
        <v>460.09999999999997</v>
      </c>
      <c r="L8" s="1">
        <f>(E8*G8/F8)/10000</f>
        <v>4.0429004702194362</v>
      </c>
      <c r="M8">
        <v>1</v>
      </c>
    </row>
    <row r="9" spans="1:14" x14ac:dyDescent="0.25">
      <c r="A9" s="5">
        <v>35172</v>
      </c>
      <c r="B9" s="13">
        <v>108</v>
      </c>
      <c r="C9" t="s">
        <v>21</v>
      </c>
      <c r="D9">
        <f>(22+25+22+20+22)/5</f>
        <v>22.2</v>
      </c>
      <c r="E9">
        <v>2497.3000000000002</v>
      </c>
      <c r="F9">
        <v>135.19999999999999</v>
      </c>
      <c r="G9">
        <v>2742</v>
      </c>
      <c r="H9">
        <v>13.8</v>
      </c>
      <c r="I9">
        <v>12.3</v>
      </c>
      <c r="J9">
        <v>471.1</v>
      </c>
      <c r="K9">
        <f>SUM(H9:J9)</f>
        <v>497.20000000000005</v>
      </c>
      <c r="L9" s="1">
        <f>(E9*G9/F9)/10000</f>
        <v>5.0647903846153852</v>
      </c>
      <c r="M9">
        <v>1</v>
      </c>
    </row>
    <row r="10" spans="1:14" x14ac:dyDescent="0.25">
      <c r="A10" s="5">
        <v>35186</v>
      </c>
      <c r="B10" s="13">
        <v>122</v>
      </c>
      <c r="C10" s="2" t="s">
        <v>34</v>
      </c>
      <c r="D10" s="2">
        <f>(38+34+37+40+38)/5</f>
        <v>37.4</v>
      </c>
      <c r="E10" s="2">
        <v>3403.4</v>
      </c>
      <c r="F10" s="2">
        <v>152.1</v>
      </c>
      <c r="G10" s="2">
        <v>2953</v>
      </c>
      <c r="H10" s="2">
        <v>15.6</v>
      </c>
      <c r="I10" s="2">
        <v>13.4</v>
      </c>
      <c r="J10" s="2">
        <f>394.5+229.2</f>
        <v>623.70000000000005</v>
      </c>
      <c r="K10" s="2">
        <f>SUM(H10:J10)</f>
        <v>652.70000000000005</v>
      </c>
      <c r="L10" s="3">
        <f>(E10*G10/F10)/10000</f>
        <v>6.6076529914529925</v>
      </c>
      <c r="M10">
        <v>2</v>
      </c>
    </row>
    <row r="11" spans="1:14" x14ac:dyDescent="0.25">
      <c r="A11" s="5">
        <v>35186</v>
      </c>
      <c r="B11" s="13">
        <v>122</v>
      </c>
      <c r="C11" t="s">
        <v>35</v>
      </c>
      <c r="D11">
        <f>(34+39+36+36+36)/5</f>
        <v>36.200000000000003</v>
      </c>
      <c r="E11">
        <v>2881.9</v>
      </c>
      <c r="F11">
        <v>153</v>
      </c>
      <c r="G11">
        <v>2944</v>
      </c>
      <c r="H11">
        <v>15.2</v>
      </c>
      <c r="I11">
        <v>14.4</v>
      </c>
      <c r="J11">
        <f>430.3+112.2</f>
        <v>542.5</v>
      </c>
      <c r="K11">
        <f>SUM(H11:J11)</f>
        <v>572.1</v>
      </c>
      <c r="L11" s="1">
        <f>(E11*G11/F11)/10000</f>
        <v>5.5453030065359474</v>
      </c>
      <c r="M11">
        <v>2</v>
      </c>
    </row>
    <row r="12" spans="1:14" x14ac:dyDescent="0.25">
      <c r="A12" s="5">
        <v>35186</v>
      </c>
      <c r="B12" s="13">
        <v>122</v>
      </c>
      <c r="C12" t="s">
        <v>36</v>
      </c>
      <c r="D12">
        <f>(40+35+38+38+39)/5</f>
        <v>38</v>
      </c>
      <c r="E12">
        <v>3640.8</v>
      </c>
      <c r="F12">
        <v>151</v>
      </c>
      <c r="G12">
        <v>2616</v>
      </c>
      <c r="H12">
        <v>15</v>
      </c>
      <c r="I12">
        <v>12.3</v>
      </c>
      <c r="J12">
        <f>489.7+165.7</f>
        <v>655.4</v>
      </c>
      <c r="K12">
        <f>SUM(H12:J12)</f>
        <v>682.69999999999993</v>
      </c>
      <c r="L12" s="1">
        <f>(E12*G12/F12)/10000</f>
        <v>6.3075051655629144</v>
      </c>
      <c r="M12">
        <v>2</v>
      </c>
    </row>
    <row r="13" spans="1:14" x14ac:dyDescent="0.25">
      <c r="A13" s="5">
        <v>35186</v>
      </c>
      <c r="B13" s="13">
        <v>122</v>
      </c>
      <c r="C13" t="s">
        <v>37</v>
      </c>
      <c r="D13">
        <f>(39+40+37+40+37)/5</f>
        <v>38.6</v>
      </c>
      <c r="E13">
        <v>3749.8</v>
      </c>
      <c r="F13">
        <v>153.19999999999999</v>
      </c>
      <c r="G13">
        <v>2922</v>
      </c>
      <c r="H13">
        <v>14.9</v>
      </c>
      <c r="I13">
        <v>13.3</v>
      </c>
      <c r="J13">
        <f>409.5+256.4</f>
        <v>665.9</v>
      </c>
      <c r="K13">
        <f>SUM(H13:J13)</f>
        <v>694.1</v>
      </c>
      <c r="L13" s="1">
        <f>(E13*G13/F13)/10000</f>
        <v>7.1520336814621421</v>
      </c>
      <c r="M13">
        <v>2</v>
      </c>
    </row>
    <row r="14" spans="1:14" x14ac:dyDescent="0.25">
      <c r="A14" s="5">
        <v>35186</v>
      </c>
      <c r="B14" s="13">
        <v>122</v>
      </c>
      <c r="C14" t="s">
        <v>18</v>
      </c>
      <c r="D14">
        <f>(37+41+40+39+38)/5</f>
        <v>39</v>
      </c>
      <c r="E14">
        <v>3532.3</v>
      </c>
      <c r="F14">
        <v>177.3</v>
      </c>
      <c r="G14">
        <v>2995</v>
      </c>
      <c r="H14">
        <v>19.399999999999999</v>
      </c>
      <c r="I14">
        <v>14.7</v>
      </c>
      <c r="J14">
        <f>342.8+279.7</f>
        <v>622.5</v>
      </c>
      <c r="K14">
        <f>SUM(H14:J14)</f>
        <v>656.6</v>
      </c>
      <c r="L14" s="1">
        <f>(E14*G14/F14)/10000</f>
        <v>5.9668575860124085</v>
      </c>
      <c r="M14">
        <v>2</v>
      </c>
    </row>
    <row r="15" spans="1:14" x14ac:dyDescent="0.25">
      <c r="A15" s="5">
        <v>35186</v>
      </c>
      <c r="B15" s="13">
        <v>122</v>
      </c>
      <c r="C15" t="s">
        <v>19</v>
      </c>
      <c r="D15">
        <f>(39+40+40+38+40)/5</f>
        <v>39.4</v>
      </c>
      <c r="E15">
        <v>3593.9</v>
      </c>
      <c r="F15">
        <v>175.5</v>
      </c>
      <c r="G15">
        <v>2818.6</v>
      </c>
      <c r="H15">
        <v>19.5</v>
      </c>
      <c r="I15">
        <v>13.2</v>
      </c>
      <c r="J15">
        <f>306.9+311.3</f>
        <v>618.20000000000005</v>
      </c>
      <c r="K15">
        <f>SUM(H15:J15)</f>
        <v>650.90000000000009</v>
      </c>
      <c r="L15" s="1">
        <f>(E15*G15/F15)/10000</f>
        <v>5.7719467464387462</v>
      </c>
      <c r="M15">
        <v>2</v>
      </c>
    </row>
    <row r="16" spans="1:14" x14ac:dyDescent="0.25">
      <c r="A16" s="5">
        <v>35186</v>
      </c>
      <c r="B16" s="13">
        <v>122</v>
      </c>
      <c r="C16" t="s">
        <v>20</v>
      </c>
      <c r="D16">
        <f>(37+39+39+40+37)/5</f>
        <v>38.4</v>
      </c>
      <c r="E16">
        <v>3729.3</v>
      </c>
      <c r="F16">
        <v>177.9</v>
      </c>
      <c r="G16">
        <v>3065</v>
      </c>
      <c r="H16">
        <v>18.600000000000001</v>
      </c>
      <c r="I16">
        <v>14.7</v>
      </c>
      <c r="J16">
        <f>417.1+235.3</f>
        <v>652.40000000000009</v>
      </c>
      <c r="K16">
        <f>SUM(H16:J16)</f>
        <v>685.7</v>
      </c>
      <c r="L16" s="1">
        <f>(E16*G16/F16)/10000</f>
        <v>6.4251290050590217</v>
      </c>
      <c r="M16">
        <v>2</v>
      </c>
    </row>
    <row r="17" spans="1:13" x14ac:dyDescent="0.25">
      <c r="A17" s="5">
        <v>35186</v>
      </c>
      <c r="B17" s="13">
        <v>122</v>
      </c>
      <c r="C17" t="s">
        <v>21</v>
      </c>
      <c r="D17">
        <f>(40+39+43+41+42)/5</f>
        <v>41</v>
      </c>
      <c r="E17">
        <v>3648.8</v>
      </c>
      <c r="F17">
        <v>183</v>
      </c>
      <c r="G17">
        <v>3049</v>
      </c>
      <c r="H17">
        <v>20.3</v>
      </c>
      <c r="I17">
        <v>14.7</v>
      </c>
      <c r="J17">
        <f>435.2+227.5</f>
        <v>662.7</v>
      </c>
      <c r="K17">
        <f>SUM(H17:J17)</f>
        <v>697.7</v>
      </c>
      <c r="L17" s="1">
        <f>(E17*G17/F17)/10000</f>
        <v>6.0793394535519134</v>
      </c>
      <c r="M17">
        <v>2</v>
      </c>
    </row>
    <row r="18" spans="1:13" x14ac:dyDescent="0.25">
      <c r="A18" s="5">
        <v>35205</v>
      </c>
      <c r="B18" s="13">
        <v>141</v>
      </c>
      <c r="C18" s="2" t="s">
        <v>34</v>
      </c>
      <c r="D18" s="2">
        <f>(60+63+62+60+65)/5</f>
        <v>62</v>
      </c>
      <c r="E18" s="2">
        <v>3509.4</v>
      </c>
      <c r="F18" s="2">
        <v>233.5</v>
      </c>
      <c r="G18" s="2">
        <v>3422</v>
      </c>
      <c r="H18" s="2">
        <v>39.1</v>
      </c>
      <c r="I18" s="2">
        <v>26.1</v>
      </c>
      <c r="J18" s="2">
        <f>264.1+269.3+326.5</f>
        <v>859.90000000000009</v>
      </c>
      <c r="K18" s="2">
        <f>SUM(H18:J18)</f>
        <v>925.10000000000014</v>
      </c>
      <c r="L18" s="3">
        <f>(E18*G18/F18)/10000</f>
        <v>5.1431121199143472</v>
      </c>
      <c r="M18">
        <v>4</v>
      </c>
    </row>
    <row r="19" spans="1:13" x14ac:dyDescent="0.25">
      <c r="A19" s="5">
        <v>35205</v>
      </c>
      <c r="B19" s="13">
        <v>141</v>
      </c>
      <c r="C19" t="s">
        <v>35</v>
      </c>
      <c r="D19">
        <f>(60+70+61+66+68)/5</f>
        <v>65</v>
      </c>
      <c r="E19">
        <v>4532.3</v>
      </c>
      <c r="F19">
        <v>238.9</v>
      </c>
      <c r="G19">
        <v>4003</v>
      </c>
      <c r="H19">
        <v>32.299999999999997</v>
      </c>
      <c r="I19">
        <v>18.7</v>
      </c>
      <c r="J19">
        <f>351.1+310.3+305.6</f>
        <v>967.00000000000011</v>
      </c>
      <c r="K19">
        <f>SUM(H19:J19)</f>
        <v>1018.0000000000001</v>
      </c>
      <c r="L19" s="1">
        <f>(E19*G19/F19)/10000</f>
        <v>7.5943059439095855</v>
      </c>
      <c r="M19">
        <v>4</v>
      </c>
    </row>
    <row r="20" spans="1:13" x14ac:dyDescent="0.25">
      <c r="A20" s="5">
        <v>35205</v>
      </c>
      <c r="B20" s="13">
        <v>141</v>
      </c>
      <c r="C20" t="s">
        <v>36</v>
      </c>
      <c r="D20">
        <f>(65+62+60+62+64)/5</f>
        <v>62.6</v>
      </c>
      <c r="E20">
        <v>3765.7</v>
      </c>
      <c r="F20">
        <v>226.1</v>
      </c>
      <c r="G20">
        <v>3941</v>
      </c>
      <c r="H20">
        <v>31.3</v>
      </c>
      <c r="I20">
        <v>22.1</v>
      </c>
      <c r="J20">
        <f>282.5+345.9+243.4</f>
        <v>871.8</v>
      </c>
      <c r="K20">
        <f>SUM(H20:J20)</f>
        <v>925.19999999999993</v>
      </c>
      <c r="L20" s="1">
        <f>(E20*G20/F20)/10000</f>
        <v>6.5637433436532504</v>
      </c>
      <c r="M20">
        <v>4</v>
      </c>
    </row>
    <row r="21" spans="1:13" x14ac:dyDescent="0.25">
      <c r="A21" s="5">
        <v>35205</v>
      </c>
      <c r="B21" s="13">
        <v>141</v>
      </c>
      <c r="C21" t="s">
        <v>37</v>
      </c>
      <c r="D21">
        <f>(67+66+65+66+67)/5</f>
        <v>66.2</v>
      </c>
      <c r="E21">
        <v>3780.1</v>
      </c>
      <c r="F21">
        <v>224.4</v>
      </c>
      <c r="G21">
        <v>3825</v>
      </c>
      <c r="H21">
        <v>31.2</v>
      </c>
      <c r="I21">
        <v>20</v>
      </c>
      <c r="J21">
        <f>314.4+223.7+258.1</f>
        <v>796.19999999999993</v>
      </c>
      <c r="K21">
        <f>SUM(H21:J21)</f>
        <v>847.4</v>
      </c>
      <c r="L21" s="1">
        <f>(E21*G21/F21)/10000</f>
        <v>6.4433522727272727</v>
      </c>
      <c r="M21">
        <v>4</v>
      </c>
    </row>
    <row r="22" spans="1:13" x14ac:dyDescent="0.25">
      <c r="A22" s="5">
        <v>35205</v>
      </c>
      <c r="B22" s="13">
        <v>141</v>
      </c>
      <c r="C22" t="s">
        <v>18</v>
      </c>
      <c r="D22">
        <f>(63+60+62+60+65)/5</f>
        <v>62</v>
      </c>
      <c r="E22">
        <v>4341.3999999999996</v>
      </c>
      <c r="F22">
        <v>230</v>
      </c>
      <c r="G22">
        <v>4485</v>
      </c>
      <c r="H22">
        <v>29.9</v>
      </c>
      <c r="I22">
        <v>18.899999999999999</v>
      </c>
      <c r="J22">
        <f>314.4+309.2+255.1</f>
        <v>878.69999999999993</v>
      </c>
      <c r="K22">
        <f>SUM(H22:J22)</f>
        <v>927.49999999999989</v>
      </c>
      <c r="L22" s="1">
        <f>(E22*G22/F22)/10000</f>
        <v>8.4657300000000006</v>
      </c>
      <c r="M22">
        <v>4</v>
      </c>
    </row>
    <row r="23" spans="1:13" x14ac:dyDescent="0.25">
      <c r="A23" s="5">
        <v>35205</v>
      </c>
      <c r="B23" s="13">
        <v>141</v>
      </c>
      <c r="C23" t="s">
        <v>19</v>
      </c>
      <c r="D23">
        <f>(62+65+70+63+60)/5</f>
        <v>64</v>
      </c>
      <c r="E23">
        <v>4150</v>
      </c>
      <c r="F23">
        <v>235.9</v>
      </c>
      <c r="G23">
        <v>4008</v>
      </c>
      <c r="H23">
        <v>31</v>
      </c>
      <c r="I23">
        <v>20.3</v>
      </c>
      <c r="J23">
        <f>265.8+253+312.9</f>
        <v>831.69999999999993</v>
      </c>
      <c r="K23">
        <f>SUM(H23:J23)</f>
        <v>882.99999999999989</v>
      </c>
      <c r="L23" s="1">
        <f>(E23*G23/F23)/10000</f>
        <v>7.0509537939804998</v>
      </c>
      <c r="M23">
        <v>4</v>
      </c>
    </row>
    <row r="24" spans="1:13" x14ac:dyDescent="0.25">
      <c r="A24" s="5">
        <v>35205</v>
      </c>
      <c r="B24" s="13">
        <v>141</v>
      </c>
      <c r="C24" t="s">
        <v>20</v>
      </c>
      <c r="D24">
        <f>(70+65+67+70+63)/5</f>
        <v>67</v>
      </c>
      <c r="E24">
        <v>4258.5</v>
      </c>
      <c r="F24">
        <v>248.4</v>
      </c>
      <c r="G24">
        <v>5036</v>
      </c>
      <c r="H24">
        <v>40.299999999999997</v>
      </c>
      <c r="I24">
        <v>26.8</v>
      </c>
      <c r="J24">
        <f>296.9+307.3+223.1</f>
        <v>827.30000000000007</v>
      </c>
      <c r="K24">
        <f>SUM(H24:J24)</f>
        <v>894.40000000000009</v>
      </c>
      <c r="L24" s="1">
        <f>(E24*G24/F24)/10000</f>
        <v>8.6335772946859901</v>
      </c>
      <c r="M24">
        <v>4</v>
      </c>
    </row>
    <row r="25" spans="1:13" x14ac:dyDescent="0.25">
      <c r="A25" s="5">
        <v>35205</v>
      </c>
      <c r="B25" s="13">
        <v>141</v>
      </c>
      <c r="C25" t="s">
        <v>21</v>
      </c>
      <c r="D25">
        <f>(70+65+70+64+66)/5</f>
        <v>67</v>
      </c>
      <c r="E25">
        <v>3472</v>
      </c>
      <c r="F25">
        <v>248.2</v>
      </c>
      <c r="G25">
        <v>3998</v>
      </c>
      <c r="H25">
        <v>35.700000000000003</v>
      </c>
      <c r="I25">
        <v>23.1</v>
      </c>
      <c r="J25">
        <f>264.5+343.9+164.4</f>
        <v>772.8</v>
      </c>
      <c r="K25">
        <f>SUM(H25:J25)</f>
        <v>831.59999999999991</v>
      </c>
      <c r="L25" s="1">
        <f>(E25*G25/F25)/10000</f>
        <v>5.5926897663174859</v>
      </c>
      <c r="M25">
        <v>4</v>
      </c>
    </row>
    <row r="26" spans="1:13" x14ac:dyDescent="0.25">
      <c r="A26" s="5">
        <v>35222</v>
      </c>
      <c r="B26" s="13">
        <v>158</v>
      </c>
      <c r="C26" s="2" t="s">
        <v>34</v>
      </c>
      <c r="D26" s="2">
        <f>(29+27+29+35+28)/5</f>
        <v>29.6</v>
      </c>
      <c r="E26" s="2">
        <v>1574.5</v>
      </c>
      <c r="F26" s="2">
        <v>131.30000000000001</v>
      </c>
      <c r="G26" s="2">
        <v>2192.73</v>
      </c>
      <c r="H26" s="2">
        <v>17.2</v>
      </c>
      <c r="I26" s="2">
        <v>6.6</v>
      </c>
      <c r="J26" s="2">
        <v>266</v>
      </c>
      <c r="K26" s="2">
        <f>SUM(H26:J26)</f>
        <v>289.8</v>
      </c>
      <c r="L26" s="3">
        <f>(E26*G26/F26)/10000</f>
        <v>2.6294389832444782</v>
      </c>
      <c r="M26">
        <v>2</v>
      </c>
    </row>
    <row r="27" spans="1:13" x14ac:dyDescent="0.25">
      <c r="A27" s="5">
        <v>35222</v>
      </c>
      <c r="B27" s="13">
        <v>158</v>
      </c>
      <c r="C27" t="s">
        <v>35</v>
      </c>
      <c r="D27">
        <f>(28+26+30+27+28)/5</f>
        <v>27.8</v>
      </c>
      <c r="E27">
        <v>1789.4</v>
      </c>
      <c r="F27">
        <v>129</v>
      </c>
      <c r="G27">
        <v>2312.64</v>
      </c>
      <c r="H27">
        <v>15.2</v>
      </c>
      <c r="I27">
        <v>6.6</v>
      </c>
      <c r="J27">
        <v>306.3</v>
      </c>
      <c r="K27">
        <f>SUM(H27:J27)</f>
        <v>328.1</v>
      </c>
      <c r="L27" s="1">
        <f>(E27*G27/F27)/10000</f>
        <v>3.2079364465116278</v>
      </c>
      <c r="M27">
        <v>2</v>
      </c>
    </row>
    <row r="28" spans="1:13" x14ac:dyDescent="0.25">
      <c r="A28" s="5">
        <v>35222</v>
      </c>
      <c r="B28" s="13">
        <v>158</v>
      </c>
      <c r="C28" t="s">
        <v>36</v>
      </c>
      <c r="D28">
        <f>(27+25+27+32+24)/5</f>
        <v>27</v>
      </c>
      <c r="E28">
        <v>1731.4</v>
      </c>
      <c r="F28">
        <v>150.6</v>
      </c>
      <c r="G28">
        <v>2611.3000000000002</v>
      </c>
      <c r="H28">
        <v>15.1</v>
      </c>
      <c r="I28">
        <v>8.5</v>
      </c>
      <c r="J28">
        <v>282.2</v>
      </c>
      <c r="K28">
        <f>SUM(H28:J28)</f>
        <v>305.8</v>
      </c>
      <c r="L28" s="1">
        <f>(E28*G28/F28)/10000</f>
        <v>3.0021280345285528</v>
      </c>
      <c r="M28">
        <v>2</v>
      </c>
    </row>
    <row r="29" spans="1:13" x14ac:dyDescent="0.25">
      <c r="A29" s="5">
        <v>35222</v>
      </c>
      <c r="B29" s="13">
        <v>158</v>
      </c>
      <c r="C29" t="s">
        <v>37</v>
      </c>
      <c r="D29">
        <f>(27+28+29+30+27)/5</f>
        <v>28.2</v>
      </c>
      <c r="E29">
        <v>1873.6</v>
      </c>
      <c r="F29">
        <v>153.69999999999999</v>
      </c>
      <c r="G29">
        <v>2917.1</v>
      </c>
      <c r="H29">
        <v>15.1</v>
      </c>
      <c r="I29">
        <v>8.9</v>
      </c>
      <c r="J29">
        <v>282</v>
      </c>
      <c r="K29">
        <f>SUM(H29:J29)</f>
        <v>306</v>
      </c>
      <c r="L29" s="1">
        <f>(E29*G29/F29)/10000</f>
        <v>3.5559392062459336</v>
      </c>
      <c r="M29">
        <v>2</v>
      </c>
    </row>
    <row r="30" spans="1:13" x14ac:dyDescent="0.25">
      <c r="A30" s="5">
        <v>35222</v>
      </c>
      <c r="B30" s="13">
        <v>158</v>
      </c>
      <c r="C30" t="s">
        <v>18</v>
      </c>
      <c r="D30">
        <f>(28+30+24+30+28)/5</f>
        <v>28</v>
      </c>
      <c r="E30">
        <v>1517.2</v>
      </c>
      <c r="F30">
        <v>150.30000000000001</v>
      </c>
      <c r="G30">
        <v>2627.98</v>
      </c>
      <c r="H30">
        <v>14.3</v>
      </c>
      <c r="I30">
        <v>9.3000000000000007</v>
      </c>
      <c r="J30">
        <v>244.1</v>
      </c>
      <c r="K30">
        <f>SUM(H30:J30)</f>
        <v>267.7</v>
      </c>
      <c r="L30" s="1">
        <f>(E30*G30/F30)/10000</f>
        <v>2.6528085535595474</v>
      </c>
      <c r="M30">
        <v>2</v>
      </c>
    </row>
    <row r="31" spans="1:13" x14ac:dyDescent="0.25">
      <c r="A31" s="5">
        <v>35222</v>
      </c>
      <c r="B31" s="13">
        <v>158</v>
      </c>
      <c r="C31" t="s">
        <v>19</v>
      </c>
      <c r="D31">
        <f>(35+37+33+37+36)/5</f>
        <v>35.6</v>
      </c>
      <c r="E31">
        <v>2112</v>
      </c>
      <c r="F31">
        <v>152.80000000000001</v>
      </c>
      <c r="G31">
        <v>2711.89</v>
      </c>
      <c r="H31">
        <v>15.8</v>
      </c>
      <c r="I31">
        <v>8.6</v>
      </c>
      <c r="J31">
        <v>346.5</v>
      </c>
      <c r="K31">
        <f>SUM(H31:J31)</f>
        <v>370.9</v>
      </c>
      <c r="L31" s="1">
        <f>(E31*G31/F31)/10000</f>
        <v>3.7483715183246065</v>
      </c>
      <c r="M31">
        <v>2</v>
      </c>
    </row>
    <row r="32" spans="1:13" x14ac:dyDescent="0.25">
      <c r="A32" s="5">
        <v>35222</v>
      </c>
      <c r="B32" s="13">
        <v>158</v>
      </c>
      <c r="C32" t="s">
        <v>20</v>
      </c>
      <c r="D32">
        <f>(34+32+33+32+35)/5</f>
        <v>33.200000000000003</v>
      </c>
      <c r="E32">
        <v>1936.5</v>
      </c>
      <c r="F32">
        <v>148.80000000000001</v>
      </c>
      <c r="G32">
        <v>2542.4499999999998</v>
      </c>
      <c r="H32">
        <v>14.9</v>
      </c>
      <c r="I32">
        <v>8.8000000000000007</v>
      </c>
      <c r="J32">
        <v>288.3</v>
      </c>
      <c r="K32">
        <f>SUM(H32:J32)</f>
        <v>312</v>
      </c>
      <c r="L32" s="1">
        <f>(E32*G32/F32)/10000</f>
        <v>3.3087731350806449</v>
      </c>
      <c r="M32">
        <v>2</v>
      </c>
    </row>
    <row r="33" spans="1:13" x14ac:dyDescent="0.25">
      <c r="A33" s="5">
        <v>35222</v>
      </c>
      <c r="B33" s="13">
        <v>158</v>
      </c>
      <c r="C33" t="s">
        <v>21</v>
      </c>
      <c r="D33">
        <f>(32+33+31+35+31)/5</f>
        <v>32.4</v>
      </c>
      <c r="E33">
        <v>2014.3</v>
      </c>
      <c r="F33">
        <v>150.6</v>
      </c>
      <c r="G33">
        <v>2391.65</v>
      </c>
      <c r="H33">
        <v>14.5</v>
      </c>
      <c r="I33">
        <v>9.4</v>
      </c>
      <c r="J33">
        <v>338.2</v>
      </c>
      <c r="K33">
        <f>SUM(H33:J33)</f>
        <v>362.09999999999997</v>
      </c>
      <c r="L33" s="1">
        <f>(E33*G33/F33)/10000</f>
        <v>3.1988715770252321</v>
      </c>
      <c r="M33">
        <v>2</v>
      </c>
    </row>
    <row r="34" spans="1:13" x14ac:dyDescent="0.25">
      <c r="A34" s="5">
        <v>35236</v>
      </c>
      <c r="B34" s="13">
        <v>172</v>
      </c>
      <c r="C34" s="2" t="s">
        <v>34</v>
      </c>
      <c r="D34" s="2">
        <f>(62+65+66+60+60)/5</f>
        <v>62.6</v>
      </c>
      <c r="E34" s="2">
        <v>3097.9</v>
      </c>
      <c r="F34" s="2">
        <v>152.1</v>
      </c>
      <c r="G34" s="2">
        <v>2220</v>
      </c>
      <c r="H34" s="2">
        <v>16.5</v>
      </c>
      <c r="I34" s="2">
        <v>9</v>
      </c>
      <c r="J34" s="2">
        <f>247+263</f>
        <v>510</v>
      </c>
      <c r="K34" s="2">
        <f>SUM(H34:J34)</f>
        <v>535.5</v>
      </c>
      <c r="L34" s="3">
        <f>(E34*G34/F34)/10000</f>
        <v>4.5215897435897441</v>
      </c>
      <c r="M34">
        <v>3</v>
      </c>
    </row>
    <row r="35" spans="1:13" x14ac:dyDescent="0.25">
      <c r="A35" s="5">
        <v>35236</v>
      </c>
      <c r="B35" s="13">
        <v>172</v>
      </c>
      <c r="C35" t="s">
        <v>35</v>
      </c>
      <c r="D35">
        <f>(63+61+61+62+65)/5</f>
        <v>62.4</v>
      </c>
      <c r="E35">
        <v>2765.3</v>
      </c>
      <c r="F35">
        <v>150.80000000000001</v>
      </c>
      <c r="G35">
        <v>2221</v>
      </c>
      <c r="H35">
        <v>17</v>
      </c>
      <c r="I35">
        <v>11.5</v>
      </c>
      <c r="J35">
        <f>276+225</f>
        <v>501</v>
      </c>
      <c r="K35">
        <f>SUM(H35:J35)</f>
        <v>529.5</v>
      </c>
      <c r="L35" s="1">
        <f>(E35*G35/F35)/10000</f>
        <v>4.0727661140583553</v>
      </c>
      <c r="M35">
        <v>3</v>
      </c>
    </row>
    <row r="36" spans="1:13" x14ac:dyDescent="0.25">
      <c r="A36" s="5">
        <v>35236</v>
      </c>
      <c r="B36" s="13">
        <v>172</v>
      </c>
      <c r="C36" t="s">
        <v>36</v>
      </c>
      <c r="D36">
        <f>(68+64+63+69+65)/5</f>
        <v>65.8</v>
      </c>
      <c r="E36">
        <v>2713.1</v>
      </c>
      <c r="F36">
        <v>153.5</v>
      </c>
      <c r="G36">
        <v>2397</v>
      </c>
      <c r="H36">
        <v>17.600000000000001</v>
      </c>
      <c r="I36">
        <v>9.6</v>
      </c>
      <c r="J36">
        <f>228+232</f>
        <v>460</v>
      </c>
      <c r="K36">
        <f>SUM(H36:J36)</f>
        <v>487.2</v>
      </c>
      <c r="L36" s="1">
        <f>(E36*G36/F36)/10000</f>
        <v>4.2366779804560259</v>
      </c>
      <c r="M36">
        <v>3</v>
      </c>
    </row>
    <row r="37" spans="1:13" x14ac:dyDescent="0.25">
      <c r="A37" s="5">
        <v>35236</v>
      </c>
      <c r="B37" s="13">
        <v>172</v>
      </c>
      <c r="C37" t="s">
        <v>37</v>
      </c>
      <c r="D37">
        <f>(64+66+69+62+67)/5</f>
        <v>65.599999999999994</v>
      </c>
      <c r="E37">
        <v>2473.8000000000002</v>
      </c>
      <c r="F37">
        <v>152.4</v>
      </c>
      <c r="G37">
        <v>2181</v>
      </c>
      <c r="H37">
        <v>17.600000000000001</v>
      </c>
      <c r="I37">
        <v>10.7</v>
      </c>
      <c r="J37">
        <f>237+198</f>
        <v>435</v>
      </c>
      <c r="K37">
        <f>SUM(H37:J37)</f>
        <v>463.3</v>
      </c>
      <c r="L37" s="1">
        <f>(E37*G37/F37)/10000</f>
        <v>3.5402610236220475</v>
      </c>
      <c r="M37">
        <v>3</v>
      </c>
    </row>
    <row r="38" spans="1:13" x14ac:dyDescent="0.25">
      <c r="A38" s="5">
        <v>35236</v>
      </c>
      <c r="B38" s="13">
        <v>172</v>
      </c>
      <c r="C38" t="s">
        <v>18</v>
      </c>
      <c r="D38">
        <f>(65+66+63+61+68)/5</f>
        <v>64.599999999999994</v>
      </c>
      <c r="E38">
        <v>2752.7</v>
      </c>
      <c r="F38">
        <v>154.80000000000001</v>
      </c>
      <c r="G38">
        <v>2341</v>
      </c>
      <c r="H38">
        <v>18.399999999999999</v>
      </c>
      <c r="I38">
        <v>11.3</v>
      </c>
      <c r="J38">
        <f>257+251</f>
        <v>508</v>
      </c>
      <c r="K38">
        <f>SUM(H38:J38)</f>
        <v>537.70000000000005</v>
      </c>
      <c r="L38" s="1">
        <f>(E38*G38/F38)/10000</f>
        <v>4.1628363695090433</v>
      </c>
      <c r="M38">
        <v>3</v>
      </c>
    </row>
    <row r="39" spans="1:13" x14ac:dyDescent="0.25">
      <c r="A39" s="5">
        <v>35236</v>
      </c>
      <c r="B39" s="13">
        <v>172</v>
      </c>
      <c r="C39" t="s">
        <v>19</v>
      </c>
      <c r="D39">
        <f>(60+62+64+65+63)/5</f>
        <v>62.8</v>
      </c>
      <c r="E39">
        <v>2945.5</v>
      </c>
      <c r="F39">
        <v>152.69999999999999</v>
      </c>
      <c r="G39">
        <v>2286</v>
      </c>
      <c r="H39">
        <v>17.399999999999999</v>
      </c>
      <c r="I39">
        <v>11.6</v>
      </c>
      <c r="J39">
        <f>307+238</f>
        <v>545</v>
      </c>
      <c r="K39">
        <f>SUM(H39:J39)</f>
        <v>574</v>
      </c>
      <c r="L39" s="1">
        <f>(E39*G39/F39)/10000</f>
        <v>4.4095697445972499</v>
      </c>
      <c r="M39">
        <v>3</v>
      </c>
    </row>
    <row r="40" spans="1:13" x14ac:dyDescent="0.25">
      <c r="A40" s="5">
        <v>35236</v>
      </c>
      <c r="B40" s="13">
        <v>172</v>
      </c>
      <c r="C40" t="s">
        <v>20</v>
      </c>
      <c r="D40">
        <f>(66+62+65+65+62)/5</f>
        <v>64</v>
      </c>
      <c r="E40">
        <v>2718.2</v>
      </c>
      <c r="F40">
        <v>150.6</v>
      </c>
      <c r="G40">
        <v>2267</v>
      </c>
      <c r="H40">
        <v>17.899999999999999</v>
      </c>
      <c r="I40">
        <v>10.8</v>
      </c>
      <c r="J40">
        <f>244+252</f>
        <v>496</v>
      </c>
      <c r="K40">
        <f>SUM(H40:J40)</f>
        <v>524.70000000000005</v>
      </c>
      <c r="L40" s="1">
        <f>(E40*G40/F40)/10000</f>
        <v>4.0917393094289514</v>
      </c>
      <c r="M40">
        <v>3</v>
      </c>
    </row>
    <row r="41" spans="1:13" x14ac:dyDescent="0.25">
      <c r="A41" s="5">
        <v>35236</v>
      </c>
      <c r="B41" s="13">
        <v>172</v>
      </c>
      <c r="C41" t="s">
        <v>21</v>
      </c>
      <c r="D41">
        <f>(70+70+61+60+63)/5</f>
        <v>64.8</v>
      </c>
      <c r="E41">
        <v>2569.9</v>
      </c>
      <c r="F41">
        <v>155.1</v>
      </c>
      <c r="G41">
        <v>2245</v>
      </c>
      <c r="H41">
        <v>18.3</v>
      </c>
      <c r="I41">
        <v>11.8</v>
      </c>
      <c r="J41">
        <f>261+211</f>
        <v>472</v>
      </c>
      <c r="K41">
        <f>SUM(H41:J41)</f>
        <v>502.1</v>
      </c>
      <c r="L41" s="1">
        <f>(E41*G41/F41)/10000</f>
        <v>3.7198101225016122</v>
      </c>
      <c r="M41">
        <v>3</v>
      </c>
    </row>
    <row r="42" spans="1:13" x14ac:dyDescent="0.25">
      <c r="A42" s="5">
        <v>35247</v>
      </c>
      <c r="B42" s="13">
        <v>183</v>
      </c>
      <c r="C42" s="2" t="s">
        <v>34</v>
      </c>
      <c r="D42" s="2">
        <f>(68+67+74+67+69)/5</f>
        <v>69</v>
      </c>
      <c r="E42" s="2">
        <v>2912.3</v>
      </c>
      <c r="F42" s="2">
        <v>239.8</v>
      </c>
      <c r="G42" s="2">
        <v>3675</v>
      </c>
      <c r="H42" s="2">
        <v>30.2</v>
      </c>
      <c r="I42" s="2">
        <v>15.4</v>
      </c>
      <c r="J42" s="2">
        <f>315+255</f>
        <v>570</v>
      </c>
      <c r="K42" s="2">
        <f>SUM(H42:J42)</f>
        <v>615.6</v>
      </c>
      <c r="L42" s="3">
        <f>(E42*G42/F42)/10000</f>
        <v>4.4631786905754796</v>
      </c>
      <c r="M42">
        <v>5</v>
      </c>
    </row>
    <row r="43" spans="1:13" x14ac:dyDescent="0.25">
      <c r="A43" s="5">
        <v>35247</v>
      </c>
      <c r="B43" s="13">
        <v>183</v>
      </c>
      <c r="C43" t="s">
        <v>35</v>
      </c>
      <c r="D43">
        <f>(72+65+70+65+68)/5</f>
        <v>68</v>
      </c>
      <c r="E43">
        <v>3579.7</v>
      </c>
      <c r="F43">
        <v>235</v>
      </c>
      <c r="G43">
        <v>3518</v>
      </c>
      <c r="H43">
        <v>33.200000000000003</v>
      </c>
      <c r="I43">
        <v>16.100000000000001</v>
      </c>
      <c r="J43">
        <f>316+311</f>
        <v>627</v>
      </c>
      <c r="K43">
        <f>SUM(H43:J43)</f>
        <v>676.3</v>
      </c>
      <c r="L43" s="1">
        <f>(E43*G43/F43)/10000</f>
        <v>5.358887063829787</v>
      </c>
      <c r="M43">
        <v>5</v>
      </c>
    </row>
    <row r="44" spans="1:13" x14ac:dyDescent="0.25">
      <c r="A44" s="5">
        <v>35247</v>
      </c>
      <c r="B44" s="13">
        <v>183</v>
      </c>
      <c r="C44" t="s">
        <v>36</v>
      </c>
      <c r="D44">
        <f>(72+67+66+76+71)/5</f>
        <v>70.400000000000006</v>
      </c>
      <c r="E44">
        <v>3334.1</v>
      </c>
      <c r="F44">
        <v>238.4</v>
      </c>
      <c r="G44">
        <v>3955</v>
      </c>
      <c r="H44">
        <v>30.7</v>
      </c>
      <c r="I44">
        <v>15.1</v>
      </c>
      <c r="J44">
        <f>295+316</f>
        <v>611</v>
      </c>
      <c r="K44">
        <f>SUM(H44:J44)</f>
        <v>656.8</v>
      </c>
      <c r="L44" s="1">
        <f>(E44*G44/F44)/10000</f>
        <v>5.5311935822147653</v>
      </c>
      <c r="M44">
        <v>5</v>
      </c>
    </row>
    <row r="45" spans="1:13" x14ac:dyDescent="0.25">
      <c r="A45" s="5">
        <v>35247</v>
      </c>
      <c r="B45" s="13">
        <v>183</v>
      </c>
      <c r="C45" t="s">
        <v>37</v>
      </c>
      <c r="D45">
        <f>(80+70+65+74+77)/5</f>
        <v>73.2</v>
      </c>
      <c r="E45">
        <v>3026.8</v>
      </c>
      <c r="F45">
        <v>243.5</v>
      </c>
      <c r="G45">
        <v>3629</v>
      </c>
      <c r="H45">
        <v>29.5</v>
      </c>
      <c r="I45">
        <v>16.2</v>
      </c>
      <c r="J45">
        <f>251+329</f>
        <v>580</v>
      </c>
      <c r="K45">
        <f>SUM(H45:J45)</f>
        <v>625.70000000000005</v>
      </c>
      <c r="L45" s="1">
        <f>(E45*G45/F45)/10000</f>
        <v>4.5109885831622183</v>
      </c>
      <c r="M45">
        <v>5</v>
      </c>
    </row>
    <row r="46" spans="1:13" x14ac:dyDescent="0.25">
      <c r="A46" s="5">
        <v>35247</v>
      </c>
      <c r="B46" s="13">
        <v>183</v>
      </c>
      <c r="C46" t="s">
        <v>18</v>
      </c>
      <c r="D46">
        <f>(75+70+73+70+68)/5</f>
        <v>71.2</v>
      </c>
      <c r="E46">
        <v>2755.1</v>
      </c>
      <c r="F46">
        <v>244.8</v>
      </c>
      <c r="G46">
        <v>3258</v>
      </c>
      <c r="H46">
        <v>30.6</v>
      </c>
      <c r="I46">
        <v>15.1</v>
      </c>
      <c r="J46">
        <f>257+258</f>
        <v>515</v>
      </c>
      <c r="K46">
        <f>SUM(H46:J46)</f>
        <v>560.70000000000005</v>
      </c>
      <c r="L46" s="1">
        <f>(E46*G46/F46)/10000</f>
        <v>3.6667139705882348</v>
      </c>
      <c r="M46">
        <v>5</v>
      </c>
    </row>
    <row r="47" spans="1:13" x14ac:dyDescent="0.25">
      <c r="A47" s="5">
        <v>35247</v>
      </c>
      <c r="B47" s="13">
        <v>183</v>
      </c>
      <c r="C47" t="s">
        <v>19</v>
      </c>
      <c r="D47">
        <f>(79+70+80+80+70)/5</f>
        <v>75.8</v>
      </c>
      <c r="E47">
        <v>2679.4</v>
      </c>
      <c r="F47">
        <v>233.6</v>
      </c>
      <c r="G47">
        <v>3501</v>
      </c>
      <c r="H47">
        <v>28.8</v>
      </c>
      <c r="I47">
        <v>17</v>
      </c>
      <c r="J47">
        <f>253+244</f>
        <v>497</v>
      </c>
      <c r="K47">
        <f>SUM(H47:J47)</f>
        <v>542.79999999999995</v>
      </c>
      <c r="L47" s="1">
        <f>(E47*G47/F47)/10000</f>
        <v>4.0156589897260275</v>
      </c>
      <c r="M47">
        <v>5</v>
      </c>
    </row>
    <row r="48" spans="1:13" x14ac:dyDescent="0.25">
      <c r="A48" s="5">
        <v>35247</v>
      </c>
      <c r="B48" s="13">
        <v>183</v>
      </c>
      <c r="C48" t="s">
        <v>20</v>
      </c>
      <c r="D48">
        <f>(70+71+78+70+75)/5</f>
        <v>72.8</v>
      </c>
      <c r="E48">
        <v>3131.2</v>
      </c>
      <c r="F48">
        <v>240.3</v>
      </c>
      <c r="G48">
        <v>3510</v>
      </c>
      <c r="H48">
        <v>31</v>
      </c>
      <c r="I48">
        <v>16</v>
      </c>
      <c r="J48">
        <f>245+331</f>
        <v>576</v>
      </c>
      <c r="K48">
        <f>SUM(H48:J48)</f>
        <v>623</v>
      </c>
      <c r="L48" s="1">
        <f>(E48*G48/F48)/10000</f>
        <v>4.5736629213483146</v>
      </c>
      <c r="M48">
        <v>5</v>
      </c>
    </row>
    <row r="49" spans="1:13" x14ac:dyDescent="0.25">
      <c r="A49" s="5">
        <v>35247</v>
      </c>
      <c r="B49" s="13">
        <v>183</v>
      </c>
      <c r="C49" t="s">
        <v>21</v>
      </c>
      <c r="D49">
        <f>(74+70+70+70+70)/5</f>
        <v>70.8</v>
      </c>
      <c r="E49">
        <v>2769.4</v>
      </c>
      <c r="F49">
        <v>236.3</v>
      </c>
      <c r="G49">
        <v>3797</v>
      </c>
      <c r="H49">
        <v>31.2</v>
      </c>
      <c r="I49">
        <v>17.600000000000001</v>
      </c>
      <c r="J49">
        <f>272+263</f>
        <v>535</v>
      </c>
      <c r="K49">
        <f>SUM(H49:J49)</f>
        <v>583.79999999999995</v>
      </c>
      <c r="L49" s="1">
        <f>(E49*G49/F49)/10000</f>
        <v>4.4500261531950915</v>
      </c>
      <c r="M49">
        <v>5</v>
      </c>
    </row>
    <row r="50" spans="1:13" x14ac:dyDescent="0.25">
      <c r="A50" s="5">
        <v>35271</v>
      </c>
      <c r="B50" s="13">
        <v>207</v>
      </c>
      <c r="C50" s="2" t="s">
        <v>34</v>
      </c>
      <c r="D50" s="2">
        <f>(39+39+40+40+38)/5</f>
        <v>39.200000000000003</v>
      </c>
      <c r="E50" s="2">
        <v>1620</v>
      </c>
      <c r="F50" s="2">
        <v>146.80000000000001</v>
      </c>
      <c r="G50" s="2">
        <v>3212</v>
      </c>
      <c r="H50" s="2">
        <v>13.3</v>
      </c>
      <c r="I50" s="2">
        <v>8.8000000000000007</v>
      </c>
      <c r="J50" s="2">
        <v>230.3</v>
      </c>
      <c r="K50" s="2">
        <f>SUM(H50:J50)</f>
        <v>252.4</v>
      </c>
      <c r="L50" s="3">
        <f>(E50*G50/F50)/10000</f>
        <v>3.5445776566757492</v>
      </c>
      <c r="M50">
        <v>3</v>
      </c>
    </row>
    <row r="51" spans="1:13" x14ac:dyDescent="0.25">
      <c r="A51" s="5">
        <v>35271</v>
      </c>
      <c r="B51" s="13">
        <v>207</v>
      </c>
      <c r="C51" t="s">
        <v>35</v>
      </c>
      <c r="D51">
        <f>(41+40+42+42+45)/5</f>
        <v>42</v>
      </c>
      <c r="E51">
        <v>1833</v>
      </c>
      <c r="F51">
        <v>146.4</v>
      </c>
      <c r="G51">
        <v>2981</v>
      </c>
      <c r="H51">
        <v>12.2</v>
      </c>
      <c r="I51">
        <v>9.6999999999999993</v>
      </c>
      <c r="J51">
        <v>273.89999999999998</v>
      </c>
      <c r="K51">
        <f>SUM(H51:J51)</f>
        <v>295.79999999999995</v>
      </c>
      <c r="L51" s="1">
        <f>(E51*G51/F51)/10000</f>
        <v>3.7323586065573773</v>
      </c>
      <c r="M51">
        <v>3</v>
      </c>
    </row>
    <row r="52" spans="1:13" x14ac:dyDescent="0.25">
      <c r="A52" s="5">
        <v>35271</v>
      </c>
      <c r="B52" s="13">
        <v>207</v>
      </c>
      <c r="C52" t="s">
        <v>36</v>
      </c>
      <c r="D52">
        <f>(40+39+40+40+40)/5</f>
        <v>39.799999999999997</v>
      </c>
      <c r="E52">
        <v>1957</v>
      </c>
      <c r="F52">
        <v>148.5</v>
      </c>
      <c r="G52">
        <v>3120</v>
      </c>
      <c r="H52">
        <v>13</v>
      </c>
      <c r="I52">
        <v>9.9</v>
      </c>
      <c r="J52">
        <v>306.8</v>
      </c>
      <c r="K52">
        <f>SUM(H52:J52)</f>
        <v>329.7</v>
      </c>
      <c r="L52" s="1">
        <f>(E52*G52/F52)/10000</f>
        <v>4.1116767676767676</v>
      </c>
      <c r="M52">
        <v>3</v>
      </c>
    </row>
    <row r="53" spans="1:13" x14ac:dyDescent="0.25">
      <c r="A53" s="5">
        <v>35271</v>
      </c>
      <c r="B53" s="13">
        <v>207</v>
      </c>
      <c r="C53" t="s">
        <v>37</v>
      </c>
      <c r="D53">
        <f>(41+38+41+39+45)/5</f>
        <v>40.799999999999997</v>
      </c>
      <c r="E53">
        <v>1653</v>
      </c>
      <c r="F53">
        <v>149.1</v>
      </c>
      <c r="G53">
        <v>2695</v>
      </c>
      <c r="H53">
        <v>12.2</v>
      </c>
      <c r="I53">
        <v>9</v>
      </c>
      <c r="J53">
        <v>249.9</v>
      </c>
      <c r="K53">
        <f>SUM(H53:J53)</f>
        <v>271.10000000000002</v>
      </c>
      <c r="L53" s="1">
        <f>(E53*G53/F53)/10000</f>
        <v>2.987816901408451</v>
      </c>
      <c r="M53">
        <v>3</v>
      </c>
    </row>
    <row r="54" spans="1:13" x14ac:dyDescent="0.25">
      <c r="A54" s="5">
        <v>35271</v>
      </c>
      <c r="B54" s="13">
        <v>207</v>
      </c>
      <c r="C54" t="s">
        <v>18</v>
      </c>
      <c r="D54">
        <f>(42+39+44+40+38)/5</f>
        <v>40.6</v>
      </c>
      <c r="E54">
        <v>1954</v>
      </c>
      <c r="F54">
        <v>155.9</v>
      </c>
      <c r="G54">
        <v>2934</v>
      </c>
      <c r="H54">
        <v>15.1</v>
      </c>
      <c r="I54">
        <v>9.1</v>
      </c>
      <c r="J54">
        <v>302.10000000000002</v>
      </c>
      <c r="K54">
        <f>SUM(H54:J54)</f>
        <v>326.3</v>
      </c>
      <c r="L54" s="1">
        <f>(E54*G54/F54)/10000</f>
        <v>3.6773803720333547</v>
      </c>
      <c r="M54">
        <v>3</v>
      </c>
    </row>
    <row r="55" spans="1:13" x14ac:dyDescent="0.25">
      <c r="A55" s="5">
        <v>35271</v>
      </c>
      <c r="B55" s="13">
        <v>207</v>
      </c>
      <c r="C55" t="s">
        <v>19</v>
      </c>
      <c r="D55">
        <f>(45+44+44+41+45)/5</f>
        <v>43.8</v>
      </c>
      <c r="E55">
        <v>2095</v>
      </c>
      <c r="F55">
        <v>146.6</v>
      </c>
      <c r="G55">
        <v>2457</v>
      </c>
      <c r="H55">
        <v>17.3</v>
      </c>
      <c r="I55">
        <v>8.1</v>
      </c>
      <c r="J55">
        <f>183.6+167.5</f>
        <v>351.1</v>
      </c>
      <c r="K55">
        <f>SUM(H55:J55)</f>
        <v>376.5</v>
      </c>
      <c r="L55" s="1">
        <f>(E55*G55/F55)/10000</f>
        <v>3.5111971350613915</v>
      </c>
      <c r="M55">
        <v>3</v>
      </c>
    </row>
    <row r="56" spans="1:13" x14ac:dyDescent="0.25">
      <c r="A56" s="5">
        <v>35271</v>
      </c>
      <c r="B56" s="13">
        <v>207</v>
      </c>
      <c r="C56" t="s">
        <v>20</v>
      </c>
      <c r="D56">
        <f>(42+38+40+41+41)/5</f>
        <v>40.4</v>
      </c>
      <c r="E56">
        <v>1614</v>
      </c>
      <c r="F56">
        <v>144.69999999999999</v>
      </c>
      <c r="G56">
        <v>2562</v>
      </c>
      <c r="H56">
        <v>13.6</v>
      </c>
      <c r="I56">
        <v>8.9</v>
      </c>
      <c r="J56" t="e">
        <v>#N/A</v>
      </c>
      <c r="K56" t="e">
        <v>#N/A</v>
      </c>
      <c r="L56" s="1">
        <f>(E56*G56/F56)/10000</f>
        <v>2.8576834830684175</v>
      </c>
      <c r="M56">
        <v>3</v>
      </c>
    </row>
    <row r="57" spans="1:13" x14ac:dyDescent="0.25">
      <c r="A57" s="5">
        <v>35271</v>
      </c>
      <c r="B57" s="13">
        <v>207</v>
      </c>
      <c r="C57" t="s">
        <v>21</v>
      </c>
      <c r="D57">
        <f>(38+41+38+44+38)/5</f>
        <v>39.799999999999997</v>
      </c>
      <c r="E57">
        <v>1677</v>
      </c>
      <c r="F57">
        <v>139.30000000000001</v>
      </c>
      <c r="G57">
        <v>2703</v>
      </c>
      <c r="H57">
        <v>14.7</v>
      </c>
      <c r="I57">
        <v>9.4</v>
      </c>
      <c r="J57">
        <v>292.7</v>
      </c>
      <c r="K57">
        <f>SUM(H57:J57)</f>
        <v>316.8</v>
      </c>
      <c r="L57" s="1">
        <f>(E57*G57/F57)/10000</f>
        <v>3.254078248384781</v>
      </c>
      <c r="M57">
        <v>3</v>
      </c>
    </row>
    <row r="58" spans="1:13" x14ac:dyDescent="0.25">
      <c r="A58" s="5">
        <v>35282</v>
      </c>
      <c r="B58" s="13">
        <v>218</v>
      </c>
      <c r="C58" s="2" t="s">
        <v>34</v>
      </c>
      <c r="D58" s="2">
        <f>(60+65+63+62+58)/5</f>
        <v>61.6</v>
      </c>
      <c r="E58" s="2">
        <v>2300</v>
      </c>
      <c r="F58" s="2">
        <v>178.1</v>
      </c>
      <c r="G58" s="2">
        <v>3075</v>
      </c>
      <c r="H58" s="2">
        <v>21.8</v>
      </c>
      <c r="I58" s="2">
        <v>13.4</v>
      </c>
      <c r="J58" s="2">
        <f>184.6+201.5</f>
        <v>386.1</v>
      </c>
      <c r="K58" s="2">
        <f>SUM(H58:J58)</f>
        <v>421.3</v>
      </c>
      <c r="L58" s="3">
        <f>(E58*G58/F58)/10000</f>
        <v>3.9710836608646831</v>
      </c>
      <c r="M58">
        <v>4</v>
      </c>
    </row>
    <row r="59" spans="1:13" x14ac:dyDescent="0.25">
      <c r="A59" s="5">
        <v>35282</v>
      </c>
      <c r="B59" s="13">
        <v>218</v>
      </c>
      <c r="C59" t="s">
        <v>35</v>
      </c>
      <c r="D59">
        <f>(64+63+65+60+59)/5</f>
        <v>62.2</v>
      </c>
      <c r="E59">
        <v>2375.5</v>
      </c>
      <c r="F59">
        <v>176.5</v>
      </c>
      <c r="G59">
        <v>3657</v>
      </c>
      <c r="H59">
        <v>21</v>
      </c>
      <c r="I59">
        <v>13.6</v>
      </c>
      <c r="J59">
        <f>227.6+197.5</f>
        <v>425.1</v>
      </c>
      <c r="K59">
        <f>SUM(H59:J59)</f>
        <v>459.70000000000005</v>
      </c>
      <c r="L59" s="1">
        <f>(E59*G59/F59)/10000</f>
        <v>4.921928328611898</v>
      </c>
      <c r="M59">
        <v>4</v>
      </c>
    </row>
    <row r="60" spans="1:13" x14ac:dyDescent="0.25">
      <c r="A60" s="5">
        <v>35282</v>
      </c>
      <c r="B60" s="13">
        <v>218</v>
      </c>
      <c r="C60" t="s">
        <v>36</v>
      </c>
      <c r="D60">
        <f>(60+56+58+61+58)/5</f>
        <v>58.6</v>
      </c>
      <c r="E60">
        <v>2397.3000000000002</v>
      </c>
      <c r="F60">
        <v>165.7</v>
      </c>
      <c r="G60">
        <v>3327</v>
      </c>
      <c r="H60">
        <v>22</v>
      </c>
      <c r="I60">
        <v>12.1</v>
      </c>
      <c r="J60">
        <f>218.1+220.2</f>
        <v>438.29999999999995</v>
      </c>
      <c r="K60">
        <f>SUM(H60:J60)</f>
        <v>472.4</v>
      </c>
      <c r="L60" s="1">
        <f>(E60*G60/F60)/10000</f>
        <v>4.813408026554014</v>
      </c>
      <c r="M60">
        <v>4</v>
      </c>
    </row>
    <row r="61" spans="1:13" x14ac:dyDescent="0.25">
      <c r="A61" s="5">
        <v>35282</v>
      </c>
      <c r="B61" s="13">
        <v>218</v>
      </c>
      <c r="C61" t="s">
        <v>37</v>
      </c>
      <c r="D61">
        <f>(57+52+62+56+57)/5</f>
        <v>56.8</v>
      </c>
      <c r="E61">
        <v>2180</v>
      </c>
      <c r="F61">
        <v>173.5</v>
      </c>
      <c r="G61">
        <v>4013</v>
      </c>
      <c r="H61">
        <v>16.8</v>
      </c>
      <c r="I61">
        <v>12.2</v>
      </c>
      <c r="J61">
        <f>260.8+114.3</f>
        <v>375.1</v>
      </c>
      <c r="K61">
        <f>SUM(H61:J61)</f>
        <v>404.1</v>
      </c>
      <c r="L61" s="1">
        <f>(E61*G61/F61)/10000</f>
        <v>5.0422708933717582</v>
      </c>
      <c r="M61">
        <v>4</v>
      </c>
    </row>
    <row r="62" spans="1:13" x14ac:dyDescent="0.25">
      <c r="A62" s="5">
        <v>35282</v>
      </c>
      <c r="B62" s="13">
        <v>218</v>
      </c>
      <c r="C62" t="s">
        <v>18</v>
      </c>
      <c r="D62" s="2">
        <f>(57+65+54+54+60)/5</f>
        <v>58</v>
      </c>
      <c r="E62" s="2">
        <v>2574.1999999999998</v>
      </c>
      <c r="F62">
        <v>177.4</v>
      </c>
      <c r="G62">
        <v>3534</v>
      </c>
      <c r="H62">
        <v>21</v>
      </c>
      <c r="I62">
        <v>12.7</v>
      </c>
      <c r="J62">
        <f>235.3+225.5</f>
        <v>460.8</v>
      </c>
      <c r="K62">
        <f>SUM(H62:J62)</f>
        <v>494.5</v>
      </c>
      <c r="L62" s="1">
        <f>(E62*G62/F62)/10000</f>
        <v>5.1280850056369776</v>
      </c>
      <c r="M62">
        <v>4</v>
      </c>
    </row>
    <row r="63" spans="1:13" x14ac:dyDescent="0.25">
      <c r="A63" s="5">
        <v>35282</v>
      </c>
      <c r="B63" s="13">
        <v>218</v>
      </c>
      <c r="C63" t="s">
        <v>19</v>
      </c>
      <c r="D63">
        <f>(60+53+57+58+59)/5</f>
        <v>57.4</v>
      </c>
      <c r="E63">
        <v>2425.5</v>
      </c>
      <c r="F63">
        <v>169.1</v>
      </c>
      <c r="G63">
        <v>3614</v>
      </c>
      <c r="H63">
        <v>19.399999999999999</v>
      </c>
      <c r="I63">
        <v>11.9</v>
      </c>
      <c r="J63">
        <f>242.7+209.9</f>
        <v>452.6</v>
      </c>
      <c r="K63">
        <f>SUM(H63:J63)</f>
        <v>483.90000000000003</v>
      </c>
      <c r="L63" s="1">
        <f>(E63*G63/F63)/10000</f>
        <v>5.1837711413364875</v>
      </c>
      <c r="M63">
        <v>4</v>
      </c>
    </row>
    <row r="64" spans="1:13" x14ac:dyDescent="0.25">
      <c r="A64" s="5">
        <v>35282</v>
      </c>
      <c r="B64" s="13">
        <v>218</v>
      </c>
      <c r="C64" t="s">
        <v>20</v>
      </c>
      <c r="D64">
        <f>(57+58+55+58+60)/5</f>
        <v>57.6</v>
      </c>
      <c r="E64">
        <v>2296.5</v>
      </c>
      <c r="F64">
        <v>171.1</v>
      </c>
      <c r="G64">
        <v>3730</v>
      </c>
      <c r="H64">
        <v>18.899999999999999</v>
      </c>
      <c r="I64">
        <v>12.2</v>
      </c>
      <c r="J64">
        <f>237.1+168.8</f>
        <v>405.9</v>
      </c>
      <c r="K64">
        <f>SUM(H64:J64)</f>
        <v>437</v>
      </c>
      <c r="L64" s="1">
        <f>(E64*G64/F64)/10000</f>
        <v>5.0063968439509061</v>
      </c>
      <c r="M64">
        <v>4</v>
      </c>
    </row>
    <row r="65" spans="1:13" x14ac:dyDescent="0.25">
      <c r="A65" s="5">
        <v>35282</v>
      </c>
      <c r="B65" s="13">
        <v>218</v>
      </c>
      <c r="C65" t="s">
        <v>21</v>
      </c>
      <c r="D65">
        <f>(61+57+58+55+61)/5</f>
        <v>58.4</v>
      </c>
      <c r="E65">
        <v>2246.6</v>
      </c>
      <c r="F65">
        <v>170.6</v>
      </c>
      <c r="G65">
        <v>3486</v>
      </c>
      <c r="H65">
        <v>20.5</v>
      </c>
      <c r="I65">
        <v>12</v>
      </c>
      <c r="J65">
        <f>215.2+194.2</f>
        <v>409.4</v>
      </c>
      <c r="K65">
        <f>SUM(H65:J65)</f>
        <v>441.9</v>
      </c>
      <c r="L65" s="1">
        <f>(E65*G65/F65)/10000</f>
        <v>4.5906492379835875</v>
      </c>
      <c r="M65">
        <v>4</v>
      </c>
    </row>
    <row r="66" spans="1:13" x14ac:dyDescent="0.25">
      <c r="A66" s="5">
        <v>35291</v>
      </c>
      <c r="B66" s="13">
        <v>227</v>
      </c>
      <c r="C66" s="2" t="s">
        <v>34</v>
      </c>
      <c r="D66" s="2">
        <f>(40+43+35+45+45)/5</f>
        <v>41.6</v>
      </c>
      <c r="E66" s="2">
        <v>2638.8</v>
      </c>
      <c r="F66" s="2">
        <v>245</v>
      </c>
      <c r="G66" s="2">
        <v>3820</v>
      </c>
      <c r="H66" s="2">
        <v>27.5</v>
      </c>
      <c r="I66" s="2">
        <v>19.5</v>
      </c>
      <c r="J66" s="2">
        <f>296.6+307.6</f>
        <v>604.20000000000005</v>
      </c>
      <c r="K66" s="2">
        <f>SUM(H66:J66)</f>
        <v>651.20000000000005</v>
      </c>
      <c r="L66" s="3">
        <f>(E66*G66/F66)/10000</f>
        <v>4.1143738775510199</v>
      </c>
      <c r="M66">
        <v>5</v>
      </c>
    </row>
    <row r="67" spans="1:13" x14ac:dyDescent="0.25">
      <c r="A67" s="5">
        <v>35291</v>
      </c>
      <c r="B67" s="13">
        <v>227</v>
      </c>
      <c r="C67" t="s">
        <v>35</v>
      </c>
      <c r="D67">
        <f>(47+45+43+44+44)/5</f>
        <v>44.6</v>
      </c>
      <c r="E67">
        <v>2762.2</v>
      </c>
      <c r="F67">
        <v>238.8</v>
      </c>
      <c r="G67">
        <v>4935</v>
      </c>
      <c r="H67">
        <v>28.4</v>
      </c>
      <c r="I67">
        <v>18.2</v>
      </c>
      <c r="J67">
        <f>333.5+296.1</f>
        <v>629.6</v>
      </c>
      <c r="K67">
        <f>SUM(H67:J67)</f>
        <v>676.2</v>
      </c>
      <c r="L67" s="1">
        <f>(E67*G67/F67)/10000</f>
        <v>5.7083153266331657</v>
      </c>
      <c r="M67">
        <v>5</v>
      </c>
    </row>
    <row r="68" spans="1:13" x14ac:dyDescent="0.25">
      <c r="A68" s="5">
        <v>35291</v>
      </c>
      <c r="B68" s="13">
        <v>227</v>
      </c>
      <c r="C68" t="s">
        <v>36</v>
      </c>
      <c r="D68">
        <f>(56+45+56+55+60)/5</f>
        <v>54.4</v>
      </c>
      <c r="E68">
        <v>2528.8000000000002</v>
      </c>
      <c r="F68">
        <v>235.2</v>
      </c>
      <c r="G68">
        <v>4487</v>
      </c>
      <c r="H68">
        <v>26.4</v>
      </c>
      <c r="I68">
        <v>19.3</v>
      </c>
      <c r="J68">
        <f>252.9+319.7</f>
        <v>572.6</v>
      </c>
      <c r="K68">
        <f>SUM(H68:J68)</f>
        <v>618.30000000000007</v>
      </c>
      <c r="L68" s="1">
        <f>(E68*G68/F68)/10000</f>
        <v>4.8242880952380958</v>
      </c>
      <c r="M68">
        <v>5</v>
      </c>
    </row>
    <row r="69" spans="1:13" x14ac:dyDescent="0.25">
      <c r="A69" s="5">
        <v>35291</v>
      </c>
      <c r="B69" s="13">
        <v>227</v>
      </c>
      <c r="C69" t="s">
        <v>37</v>
      </c>
      <c r="D69">
        <f>(50+52+55+54+55)/5</f>
        <v>53.2</v>
      </c>
      <c r="E69">
        <v>2321</v>
      </c>
      <c r="F69">
        <v>248.1</v>
      </c>
      <c r="G69">
        <v>2828</v>
      </c>
      <c r="H69">
        <v>29.9</v>
      </c>
      <c r="I69">
        <v>21.4</v>
      </c>
      <c r="J69">
        <f>298.6+278.4</f>
        <v>577</v>
      </c>
      <c r="K69">
        <f>SUM(H69:J69)</f>
        <v>628.29999999999995</v>
      </c>
      <c r="L69" s="1">
        <f>(E69*G69/F69)/10000</f>
        <v>2.645621926642483</v>
      </c>
      <c r="M69">
        <v>5</v>
      </c>
    </row>
    <row r="70" spans="1:13" x14ac:dyDescent="0.25">
      <c r="A70" s="5">
        <v>35291</v>
      </c>
      <c r="B70" s="13">
        <v>227</v>
      </c>
      <c r="C70" t="s">
        <v>18</v>
      </c>
      <c r="D70" s="2">
        <f>(42+46+50+42+40)/5</f>
        <v>44</v>
      </c>
      <c r="E70" s="2">
        <v>2072</v>
      </c>
      <c r="F70">
        <v>242.6</v>
      </c>
      <c r="G70">
        <v>4037</v>
      </c>
      <c r="H70">
        <v>35.700000000000003</v>
      </c>
      <c r="I70">
        <v>19.899999999999999</v>
      </c>
      <c r="J70">
        <f>287.9+259.8</f>
        <v>547.70000000000005</v>
      </c>
      <c r="K70">
        <f>SUM(H70:J70)</f>
        <v>603.30000000000007</v>
      </c>
      <c r="L70" s="1">
        <f>(E70*G70/F70)/10000</f>
        <v>3.4479241549876343</v>
      </c>
      <c r="M70">
        <v>5</v>
      </c>
    </row>
    <row r="71" spans="1:13" x14ac:dyDescent="0.25">
      <c r="A71" s="5">
        <v>35291</v>
      </c>
      <c r="B71" s="13">
        <v>227</v>
      </c>
      <c r="C71" t="s">
        <v>19</v>
      </c>
      <c r="D71">
        <f>(52+45+40+48+46)/5</f>
        <v>46.2</v>
      </c>
      <c r="E71">
        <v>2220</v>
      </c>
      <c r="F71">
        <v>235.3</v>
      </c>
      <c r="G71">
        <v>3825</v>
      </c>
      <c r="H71">
        <v>32.700000000000003</v>
      </c>
      <c r="I71">
        <v>15.7</v>
      </c>
      <c r="J71">
        <f>265.7+281.3</f>
        <v>547</v>
      </c>
      <c r="K71">
        <f>SUM(H71:J71)</f>
        <v>595.4</v>
      </c>
      <c r="L71" s="1">
        <f>(E71*G71/F71)/10000</f>
        <v>3.6087972800679977</v>
      </c>
      <c r="M71">
        <v>5</v>
      </c>
    </row>
    <row r="72" spans="1:13" x14ac:dyDescent="0.25">
      <c r="A72" s="5">
        <v>35291</v>
      </c>
      <c r="B72" s="13">
        <v>227</v>
      </c>
      <c r="C72" t="s">
        <v>20</v>
      </c>
      <c r="D72">
        <f>(42+43+50+42+40)/5</f>
        <v>43.4</v>
      </c>
      <c r="E72">
        <v>2416</v>
      </c>
      <c r="F72">
        <v>249.7</v>
      </c>
      <c r="G72">
        <v>4448</v>
      </c>
      <c r="H72">
        <v>33.200000000000003</v>
      </c>
      <c r="I72">
        <v>19.8</v>
      </c>
      <c r="J72">
        <f>291.8+291</f>
        <v>582.79999999999995</v>
      </c>
      <c r="K72">
        <f>SUM(H72:J72)</f>
        <v>635.79999999999995</v>
      </c>
      <c r="L72" s="1">
        <f>(E72*G72/F72)/10000</f>
        <v>4.3037116539847817</v>
      </c>
      <c r="M72">
        <v>5</v>
      </c>
    </row>
    <row r="73" spans="1:13" x14ac:dyDescent="0.25">
      <c r="A73" s="5">
        <v>35291</v>
      </c>
      <c r="B73" s="13">
        <v>227</v>
      </c>
      <c r="C73" t="s">
        <v>21</v>
      </c>
      <c r="D73">
        <f>(58+54+48+53+52)/5</f>
        <v>53</v>
      </c>
      <c r="E73">
        <v>1985</v>
      </c>
      <c r="F73">
        <v>245.8</v>
      </c>
      <c r="G73">
        <v>4542</v>
      </c>
      <c r="H73">
        <v>29.6</v>
      </c>
      <c r="I73">
        <v>17.100000000000001</v>
      </c>
      <c r="J73">
        <f>244.8+225.7</f>
        <v>470.5</v>
      </c>
      <c r="K73">
        <f>SUM(H73:J73)</f>
        <v>517.20000000000005</v>
      </c>
      <c r="L73" s="1">
        <f>(E73*G73/F73)/10000</f>
        <v>3.6679698942229448</v>
      </c>
      <c r="M73">
        <v>5</v>
      </c>
    </row>
    <row r="74" spans="1:13" x14ac:dyDescent="0.25">
      <c r="A74" s="5">
        <v>35311</v>
      </c>
      <c r="B74" s="13">
        <v>247</v>
      </c>
      <c r="C74" s="2" t="s">
        <v>34</v>
      </c>
      <c r="D74" s="2">
        <f>(41+40+34+39+37)/5</f>
        <v>38.200000000000003</v>
      </c>
      <c r="E74" s="2">
        <v>1727.5</v>
      </c>
      <c r="F74" s="2">
        <v>125.5</v>
      </c>
      <c r="G74" s="2">
        <v>2691</v>
      </c>
      <c r="H74" s="2">
        <v>9.4</v>
      </c>
      <c r="I74" s="2">
        <v>8.6</v>
      </c>
      <c r="J74" s="2">
        <v>236.5</v>
      </c>
      <c r="K74" s="2">
        <f>SUM(H74:J74)</f>
        <v>254.5</v>
      </c>
      <c r="L74" s="3">
        <f>(E74*G74/F74)/10000</f>
        <v>3.7041454183266933</v>
      </c>
      <c r="M74">
        <v>2</v>
      </c>
    </row>
    <row r="75" spans="1:13" x14ac:dyDescent="0.25">
      <c r="A75" s="5">
        <v>35311</v>
      </c>
      <c r="B75" s="13">
        <v>247</v>
      </c>
      <c r="C75" t="s">
        <v>35</v>
      </c>
      <c r="D75">
        <f>(35+36+38+35+37)/5</f>
        <v>36.200000000000003</v>
      </c>
      <c r="E75">
        <v>1485.5</v>
      </c>
      <c r="F75">
        <v>126.7</v>
      </c>
      <c r="G75">
        <v>2499</v>
      </c>
      <c r="H75">
        <v>11.2</v>
      </c>
      <c r="I75">
        <v>8.1</v>
      </c>
      <c r="J75">
        <v>242.2</v>
      </c>
      <c r="K75">
        <f>SUM(H75:J75)</f>
        <v>261.5</v>
      </c>
      <c r="L75" s="1">
        <f>(E75*G75/F75)/10000</f>
        <v>2.92996408839779</v>
      </c>
      <c r="M75">
        <v>2</v>
      </c>
    </row>
    <row r="76" spans="1:13" x14ac:dyDescent="0.25">
      <c r="A76" s="5">
        <v>35311</v>
      </c>
      <c r="B76" s="13">
        <v>247</v>
      </c>
      <c r="C76" t="s">
        <v>36</v>
      </c>
      <c r="D76">
        <f>(38+41+35+38+39)/5</f>
        <v>38.200000000000003</v>
      </c>
      <c r="E76">
        <v>1767.2</v>
      </c>
      <c r="F76">
        <v>135.1</v>
      </c>
      <c r="G76">
        <v>3050</v>
      </c>
      <c r="H76">
        <v>11.7</v>
      </c>
      <c r="I76">
        <v>8.6999999999999993</v>
      </c>
      <c r="J76">
        <v>263.2</v>
      </c>
      <c r="K76">
        <f>SUM(H76:J76)</f>
        <v>283.59999999999997</v>
      </c>
      <c r="L76" s="1">
        <f>(E76*G76/F76)/10000</f>
        <v>3.9896076980014805</v>
      </c>
      <c r="M76">
        <v>2</v>
      </c>
    </row>
    <row r="77" spans="1:13" x14ac:dyDescent="0.25">
      <c r="A77" s="5">
        <v>35311</v>
      </c>
      <c r="B77" s="13">
        <v>247</v>
      </c>
      <c r="C77" t="s">
        <v>37</v>
      </c>
      <c r="D77">
        <f>(37+40+38+35+37)/5</f>
        <v>37.4</v>
      </c>
      <c r="E77">
        <v>1661.7</v>
      </c>
      <c r="F77">
        <v>135.1</v>
      </c>
      <c r="G77">
        <v>2816</v>
      </c>
      <c r="H77">
        <v>11.8</v>
      </c>
      <c r="I77">
        <v>8.6999999999999993</v>
      </c>
      <c r="J77">
        <v>259.5</v>
      </c>
      <c r="K77">
        <f>SUM(H77:J77)</f>
        <v>280</v>
      </c>
      <c r="L77" s="1">
        <f>(E77*G77/F77)/10000</f>
        <v>3.4636174685418215</v>
      </c>
      <c r="M77">
        <v>2</v>
      </c>
    </row>
    <row r="78" spans="1:13" x14ac:dyDescent="0.25">
      <c r="A78" s="5">
        <v>35311</v>
      </c>
      <c r="B78" s="13">
        <v>247</v>
      </c>
      <c r="C78" t="s">
        <v>18</v>
      </c>
      <c r="D78">
        <f>(42+37+40+38+40)/5</f>
        <v>39.4</v>
      </c>
      <c r="E78">
        <v>1461.7</v>
      </c>
      <c r="F78">
        <v>132.80000000000001</v>
      </c>
      <c r="G78">
        <v>2711</v>
      </c>
      <c r="H78">
        <v>11.3</v>
      </c>
      <c r="I78">
        <v>8.9</v>
      </c>
      <c r="J78">
        <v>213.9</v>
      </c>
      <c r="K78">
        <f>SUM(H78:J78)</f>
        <v>234.10000000000002</v>
      </c>
      <c r="L78" s="1">
        <f>(E78*G78/F78)/10000</f>
        <v>2.9839372740963857</v>
      </c>
      <c r="M78">
        <v>2</v>
      </c>
    </row>
    <row r="79" spans="1:13" x14ac:dyDescent="0.25">
      <c r="A79" s="5">
        <v>35311</v>
      </c>
      <c r="B79" s="13">
        <v>247</v>
      </c>
      <c r="C79" t="s">
        <v>19</v>
      </c>
      <c r="D79">
        <f>(39+42+38+38+41)/5</f>
        <v>39.6</v>
      </c>
      <c r="E79">
        <v>1706.5</v>
      </c>
      <c r="F79">
        <v>135</v>
      </c>
      <c r="G79">
        <v>2791</v>
      </c>
      <c r="H79">
        <v>12.9</v>
      </c>
      <c r="I79">
        <v>8.3000000000000007</v>
      </c>
      <c r="J79">
        <v>282.89999999999998</v>
      </c>
      <c r="K79">
        <f>SUM(H79:J79)</f>
        <v>304.09999999999997</v>
      </c>
      <c r="L79" s="1">
        <f>(E79*G79/F79)/10000</f>
        <v>3.528030740740741</v>
      </c>
      <c r="M79">
        <v>2</v>
      </c>
    </row>
    <row r="80" spans="1:13" x14ac:dyDescent="0.25">
      <c r="A80" s="5">
        <v>35311</v>
      </c>
      <c r="B80" s="13">
        <v>247</v>
      </c>
      <c r="C80" t="s">
        <v>20</v>
      </c>
      <c r="D80">
        <f>(39+38+38+39+40)/5</f>
        <v>38.799999999999997</v>
      </c>
      <c r="E80">
        <v>1425.2</v>
      </c>
      <c r="F80">
        <v>125.6</v>
      </c>
      <c r="G80">
        <v>2900</v>
      </c>
      <c r="H80">
        <v>12.3</v>
      </c>
      <c r="I80">
        <v>8.9</v>
      </c>
      <c r="J80">
        <v>231.8</v>
      </c>
      <c r="K80">
        <f>SUM(H80:J80)</f>
        <v>253</v>
      </c>
      <c r="L80" s="1">
        <f>(E80*G80/F80)/10000</f>
        <v>3.2906687898089171</v>
      </c>
      <c r="M80">
        <v>2</v>
      </c>
    </row>
    <row r="81" spans="1:13" x14ac:dyDescent="0.25">
      <c r="A81" s="5">
        <v>35311</v>
      </c>
      <c r="B81" s="13">
        <v>247</v>
      </c>
      <c r="C81" t="s">
        <v>21</v>
      </c>
      <c r="D81">
        <f>(44+39+36+35+42)/5</f>
        <v>39.200000000000003</v>
      </c>
      <c r="E81">
        <v>1714.6</v>
      </c>
      <c r="F81">
        <v>124.5</v>
      </c>
      <c r="G81">
        <v>2792</v>
      </c>
      <c r="H81">
        <v>12.9</v>
      </c>
      <c r="I81">
        <v>9.6999999999999993</v>
      </c>
      <c r="J81">
        <v>317.60000000000002</v>
      </c>
      <c r="K81">
        <f>SUM(H81:J81)</f>
        <v>340.20000000000005</v>
      </c>
      <c r="L81" s="1">
        <f>(E81*G81/F81)/10000</f>
        <v>3.8451110040160645</v>
      </c>
      <c r="M81">
        <v>2</v>
      </c>
    </row>
    <row r="82" spans="1:13" x14ac:dyDescent="0.25">
      <c r="A82" s="5">
        <v>35326</v>
      </c>
      <c r="B82" s="13">
        <v>262</v>
      </c>
      <c r="C82" s="2" t="s">
        <v>34</v>
      </c>
      <c r="D82" s="2">
        <f>(51+53+53+52+48)/5</f>
        <v>51.4</v>
      </c>
      <c r="E82" s="2">
        <v>1854.5</v>
      </c>
      <c r="F82" s="2">
        <v>158</v>
      </c>
      <c r="G82" s="2">
        <v>3698</v>
      </c>
      <c r="H82" s="2">
        <v>16.7</v>
      </c>
      <c r="I82" s="2">
        <v>12.8</v>
      </c>
      <c r="J82" s="2">
        <v>331.5</v>
      </c>
      <c r="K82" s="2">
        <f>SUM(H82:J82)</f>
        <v>361</v>
      </c>
      <c r="L82" s="3">
        <f>(E82*G82/F82)/10000</f>
        <v>4.3404689873417723</v>
      </c>
      <c r="M82">
        <v>3</v>
      </c>
    </row>
    <row r="83" spans="1:13" x14ac:dyDescent="0.25">
      <c r="A83" s="5">
        <v>35326</v>
      </c>
      <c r="B83" s="13">
        <v>262</v>
      </c>
      <c r="C83" t="s">
        <v>35</v>
      </c>
      <c r="D83">
        <f>(55+48+50+54+51)/5</f>
        <v>51.6</v>
      </c>
      <c r="E83">
        <v>1844.9</v>
      </c>
      <c r="F83">
        <v>153.69999999999999</v>
      </c>
      <c r="G83">
        <v>3641</v>
      </c>
      <c r="H83">
        <v>20.9</v>
      </c>
      <c r="I83">
        <v>14.1</v>
      </c>
      <c r="J83">
        <v>333.3</v>
      </c>
      <c r="K83">
        <f>SUM(H83:J83)</f>
        <v>368.3</v>
      </c>
      <c r="L83" s="1">
        <f>(E83*G83/F83)/10000</f>
        <v>4.3703844502277169</v>
      </c>
      <c r="M83">
        <v>3</v>
      </c>
    </row>
    <row r="84" spans="1:13" x14ac:dyDescent="0.25">
      <c r="A84" s="5">
        <v>35326</v>
      </c>
      <c r="B84" s="13">
        <v>262</v>
      </c>
      <c r="C84" t="s">
        <v>36</v>
      </c>
      <c r="D84">
        <f>(51+49+51+52+56)/5</f>
        <v>51.8</v>
      </c>
      <c r="E84">
        <v>1633</v>
      </c>
      <c r="F84">
        <v>190</v>
      </c>
      <c r="G84">
        <v>4550</v>
      </c>
      <c r="H84">
        <v>21.4</v>
      </c>
      <c r="I84">
        <v>15</v>
      </c>
      <c r="J84">
        <v>302.10000000000002</v>
      </c>
      <c r="K84">
        <f>SUM(H84:J84)</f>
        <v>338.5</v>
      </c>
      <c r="L84" s="1">
        <f>(E84*G84/F84)/10000</f>
        <v>3.9106052631578945</v>
      </c>
      <c r="M84">
        <v>3</v>
      </c>
    </row>
    <row r="85" spans="1:13" x14ac:dyDescent="0.25">
      <c r="A85" s="5">
        <v>35326</v>
      </c>
      <c r="B85" s="13">
        <v>262</v>
      </c>
      <c r="C85" t="s">
        <v>37</v>
      </c>
      <c r="D85">
        <f>(58+51+50+50+49)/5</f>
        <v>51.6</v>
      </c>
      <c r="E85">
        <v>1721.3</v>
      </c>
      <c r="F85">
        <v>175</v>
      </c>
      <c r="G85">
        <v>3742</v>
      </c>
      <c r="H85">
        <v>19.7</v>
      </c>
      <c r="I85">
        <v>12.9</v>
      </c>
      <c r="J85">
        <v>312.10000000000002</v>
      </c>
      <c r="K85">
        <f>SUM(H85:J85)</f>
        <v>344.70000000000005</v>
      </c>
      <c r="L85" s="1">
        <f>(E85*G85/F85)/10000</f>
        <v>3.6806311999999997</v>
      </c>
      <c r="M85">
        <v>3</v>
      </c>
    </row>
    <row r="86" spans="1:13" x14ac:dyDescent="0.25">
      <c r="A86" s="5">
        <v>35326</v>
      </c>
      <c r="B86" s="13">
        <v>262</v>
      </c>
      <c r="C86" t="s">
        <v>18</v>
      </c>
      <c r="D86">
        <f>(50+46+47+50+47)/5</f>
        <v>48</v>
      </c>
      <c r="E86">
        <v>1591.5</v>
      </c>
      <c r="F86">
        <v>187</v>
      </c>
      <c r="G86">
        <v>4206</v>
      </c>
      <c r="H86">
        <v>20.9</v>
      </c>
      <c r="I86">
        <v>15.8</v>
      </c>
      <c r="J86">
        <v>284.5</v>
      </c>
      <c r="K86">
        <f>SUM(H86:J86)</f>
        <v>321.2</v>
      </c>
      <c r="L86" s="1">
        <f>(E86*G86/F86)/10000</f>
        <v>3.5795983957219248</v>
      </c>
      <c r="M86">
        <v>3</v>
      </c>
    </row>
    <row r="87" spans="1:13" x14ac:dyDescent="0.25">
      <c r="A87" s="5">
        <v>35326</v>
      </c>
      <c r="B87" s="13">
        <v>262</v>
      </c>
      <c r="C87" t="s">
        <v>19</v>
      </c>
      <c r="D87">
        <f>(55+55+47+50+49)/5</f>
        <v>51.2</v>
      </c>
      <c r="E87">
        <v>1658.8</v>
      </c>
      <c r="F87">
        <v>180</v>
      </c>
      <c r="G87">
        <v>4025</v>
      </c>
      <c r="H87">
        <v>21.5</v>
      </c>
      <c r="I87">
        <v>15.4</v>
      </c>
      <c r="J87">
        <v>325.10000000000002</v>
      </c>
      <c r="K87">
        <f>SUM(H87:J87)</f>
        <v>362</v>
      </c>
      <c r="L87" s="1">
        <f>(E87*G87/F87)/10000</f>
        <v>3.7092611111111111</v>
      </c>
      <c r="M87">
        <v>3</v>
      </c>
    </row>
    <row r="88" spans="1:13" x14ac:dyDescent="0.25">
      <c r="A88" s="5">
        <v>35326</v>
      </c>
      <c r="B88" s="13">
        <v>262</v>
      </c>
      <c r="C88" t="s">
        <v>20</v>
      </c>
      <c r="D88">
        <f>(51+43+43+48+43)/5</f>
        <v>45.6</v>
      </c>
      <c r="E88">
        <v>1660.5</v>
      </c>
      <c r="F88">
        <v>190</v>
      </c>
      <c r="G88">
        <v>4742</v>
      </c>
      <c r="H88">
        <v>20.100000000000001</v>
      </c>
      <c r="I88">
        <v>16.7</v>
      </c>
      <c r="J88">
        <v>325.60000000000002</v>
      </c>
      <c r="K88">
        <f>SUM(H88:J88)</f>
        <v>362.40000000000003</v>
      </c>
      <c r="L88" s="1">
        <f>(E88*G88/F88)/10000</f>
        <v>4.1442584210526316</v>
      </c>
      <c r="M88">
        <v>3</v>
      </c>
    </row>
    <row r="89" spans="1:13" x14ac:dyDescent="0.25">
      <c r="A89" s="5">
        <v>35326</v>
      </c>
      <c r="B89" s="13">
        <v>262</v>
      </c>
      <c r="C89" t="s">
        <v>21</v>
      </c>
      <c r="D89">
        <f>(51+46+51+51+53)/5</f>
        <v>50.4</v>
      </c>
      <c r="E89">
        <v>1720.5</v>
      </c>
      <c r="F89">
        <v>198</v>
      </c>
      <c r="G89">
        <v>4165</v>
      </c>
      <c r="H89">
        <v>24.3</v>
      </c>
      <c r="I89">
        <v>15</v>
      </c>
      <c r="J89">
        <v>325.3</v>
      </c>
      <c r="K89">
        <f>SUM(H89:J89)</f>
        <v>364.6</v>
      </c>
      <c r="L89" s="1">
        <f>(E89*G89/F89)/10000</f>
        <v>3.6191325757575759</v>
      </c>
      <c r="M89">
        <v>3</v>
      </c>
    </row>
    <row r="90" spans="1:13" x14ac:dyDescent="0.25">
      <c r="A90" s="5">
        <v>35345</v>
      </c>
      <c r="B90" s="13">
        <v>281</v>
      </c>
      <c r="C90" s="2" t="s">
        <v>34</v>
      </c>
      <c r="D90" s="2">
        <f>(55+52+54+55+59)/5</f>
        <v>55</v>
      </c>
      <c r="E90" s="2">
        <v>1803.7</v>
      </c>
      <c r="F90" s="2">
        <v>186.4</v>
      </c>
      <c r="G90" s="2">
        <v>3446</v>
      </c>
      <c r="H90" s="2">
        <v>20.399999999999999</v>
      </c>
      <c r="I90" s="2">
        <v>16.3</v>
      </c>
      <c r="J90" s="2">
        <f>136.6+198.8</f>
        <v>335.4</v>
      </c>
      <c r="K90" s="2">
        <f>SUM(H90:J90)</f>
        <v>372.09999999999997</v>
      </c>
      <c r="L90" s="3">
        <f>(E90*G90/F90)/10000</f>
        <v>3.3345226394849785</v>
      </c>
      <c r="M90">
        <v>4</v>
      </c>
    </row>
    <row r="91" spans="1:13" x14ac:dyDescent="0.25">
      <c r="A91" s="5">
        <v>35345</v>
      </c>
      <c r="B91" s="13">
        <v>281</v>
      </c>
      <c r="C91" t="s">
        <v>35</v>
      </c>
      <c r="D91">
        <f>(54+54+55+53+53)/5</f>
        <v>53.8</v>
      </c>
      <c r="E91">
        <v>1741</v>
      </c>
      <c r="F91">
        <v>193.2</v>
      </c>
      <c r="G91">
        <v>3844</v>
      </c>
      <c r="H91">
        <v>21.9</v>
      </c>
      <c r="I91">
        <v>16.399999999999999</v>
      </c>
      <c r="J91">
        <f>120.2+232.2</f>
        <v>352.4</v>
      </c>
      <c r="K91">
        <f>SUM(H91:J91)</f>
        <v>390.7</v>
      </c>
      <c r="L91" s="1">
        <f>(E91*G91/F91)/10000</f>
        <v>3.463977225672878</v>
      </c>
      <c r="M91">
        <v>4</v>
      </c>
    </row>
    <row r="92" spans="1:13" x14ac:dyDescent="0.25">
      <c r="A92" s="5">
        <v>35345</v>
      </c>
      <c r="B92" s="13">
        <v>281</v>
      </c>
      <c r="C92" t="s">
        <v>36</v>
      </c>
      <c r="D92">
        <f>(57+50+49+49+43)/5</f>
        <v>49.6</v>
      </c>
      <c r="E92">
        <v>1646.5</v>
      </c>
      <c r="F92">
        <v>196.8</v>
      </c>
      <c r="G92">
        <v>3837</v>
      </c>
      <c r="H92">
        <v>25.3</v>
      </c>
      <c r="I92">
        <v>16.2</v>
      </c>
      <c r="J92">
        <f>156.6+170.3</f>
        <v>326.89999999999998</v>
      </c>
      <c r="K92">
        <f>SUM(H92:J92)</f>
        <v>368.4</v>
      </c>
      <c r="L92" s="1">
        <f>(E92*G92/F92)/10000</f>
        <v>3.2101730182926831</v>
      </c>
      <c r="M92">
        <v>4</v>
      </c>
    </row>
    <row r="93" spans="1:13" x14ac:dyDescent="0.25">
      <c r="A93" s="5">
        <v>35345</v>
      </c>
      <c r="B93" s="13">
        <v>281</v>
      </c>
      <c r="C93" t="s">
        <v>37</v>
      </c>
      <c r="D93">
        <f>(53+56+55+60+55)/5</f>
        <v>55.8</v>
      </c>
      <c r="E93">
        <v>1697</v>
      </c>
      <c r="F93">
        <v>195.3</v>
      </c>
      <c r="G93">
        <v>3425</v>
      </c>
      <c r="H93">
        <v>22.7</v>
      </c>
      <c r="I93">
        <v>17.7</v>
      </c>
      <c r="J93">
        <f>171.2+170.3</f>
        <v>341.5</v>
      </c>
      <c r="K93">
        <f>SUM(H93:J93)</f>
        <v>381.9</v>
      </c>
      <c r="L93" s="1">
        <f>(E93*G93/F93)/10000</f>
        <v>2.9760496671786996</v>
      </c>
      <c r="M93">
        <v>4</v>
      </c>
    </row>
    <row r="94" spans="1:13" x14ac:dyDescent="0.25">
      <c r="A94" s="5">
        <v>35345</v>
      </c>
      <c r="B94" s="13">
        <v>281</v>
      </c>
      <c r="C94" t="s">
        <v>18</v>
      </c>
      <c r="D94">
        <f>(54+56+56+54+59)/5</f>
        <v>55.8</v>
      </c>
      <c r="E94">
        <v>1587.1</v>
      </c>
      <c r="F94">
        <v>192</v>
      </c>
      <c r="G94">
        <v>3874</v>
      </c>
      <c r="H94">
        <v>23.6</v>
      </c>
      <c r="I94">
        <v>17.399999999999999</v>
      </c>
      <c r="J94">
        <f>174.9+154.7</f>
        <v>329.6</v>
      </c>
      <c r="K94">
        <f>SUM(H94:J94)</f>
        <v>370.6</v>
      </c>
      <c r="L94" s="1">
        <f>(E94*G94/F94)/10000</f>
        <v>3.2023048958333331</v>
      </c>
      <c r="M94">
        <v>4</v>
      </c>
    </row>
    <row r="95" spans="1:13" x14ac:dyDescent="0.25">
      <c r="A95" s="5">
        <v>35345</v>
      </c>
      <c r="B95" s="13">
        <v>281</v>
      </c>
      <c r="C95" t="s">
        <v>19</v>
      </c>
      <c r="D95">
        <f>(53+54+50+47+52)/5</f>
        <v>51.2</v>
      </c>
      <c r="E95">
        <v>1568.2</v>
      </c>
      <c r="F95">
        <v>193.7</v>
      </c>
      <c r="G95">
        <v>3524</v>
      </c>
      <c r="H95">
        <v>22.3</v>
      </c>
      <c r="I95">
        <v>18.399999999999999</v>
      </c>
      <c r="J95">
        <f>167+159.3</f>
        <v>326.3</v>
      </c>
      <c r="K95">
        <f>SUM(H95:J95)</f>
        <v>367</v>
      </c>
      <c r="L95" s="1">
        <f>(E95*G95/F95)/10000</f>
        <v>2.8530391326794011</v>
      </c>
      <c r="M95">
        <v>4</v>
      </c>
    </row>
    <row r="96" spans="1:13" x14ac:dyDescent="0.25">
      <c r="A96" s="5">
        <v>35345</v>
      </c>
      <c r="B96" s="13">
        <v>281</v>
      </c>
      <c r="C96" t="s">
        <v>20</v>
      </c>
      <c r="D96">
        <f>(53+52+47+61+52)/5</f>
        <v>53</v>
      </c>
      <c r="E96">
        <v>1551.7</v>
      </c>
      <c r="F96">
        <v>175.9</v>
      </c>
      <c r="G96">
        <v>3564</v>
      </c>
      <c r="H96">
        <v>22.5</v>
      </c>
      <c r="I96">
        <v>14.9</v>
      </c>
      <c r="J96">
        <f>164.7+141.3</f>
        <v>306</v>
      </c>
      <c r="K96">
        <f>SUM(H96:J96)</f>
        <v>343.4</v>
      </c>
      <c r="L96" s="1">
        <f>(E96*G96/F96)/10000</f>
        <v>3.1439788516202385</v>
      </c>
      <c r="M96">
        <v>4</v>
      </c>
    </row>
    <row r="97" spans="1:13" x14ac:dyDescent="0.25">
      <c r="A97" s="5">
        <v>35345</v>
      </c>
      <c r="B97" s="13">
        <v>281</v>
      </c>
      <c r="C97" t="s">
        <v>21</v>
      </c>
      <c r="D97">
        <f>(59+54+52+55+52)/5</f>
        <v>54.4</v>
      </c>
      <c r="E97">
        <v>1524.2</v>
      </c>
      <c r="F97">
        <v>198.9</v>
      </c>
      <c r="G97">
        <v>3247</v>
      </c>
      <c r="H97">
        <v>26.6</v>
      </c>
      <c r="I97">
        <v>19.100000000000001</v>
      </c>
      <c r="J97">
        <f>187.2+147.6</f>
        <v>334.79999999999995</v>
      </c>
      <c r="K97">
        <f>SUM(H97:J97)</f>
        <v>380.49999999999994</v>
      </c>
      <c r="L97" s="1">
        <f>(E97*G97/F97)/10000</f>
        <v>2.4882239316239319</v>
      </c>
      <c r="M97">
        <v>4</v>
      </c>
    </row>
    <row r="98" spans="1:13" x14ac:dyDescent="0.25">
      <c r="A98" s="5">
        <v>35206</v>
      </c>
      <c r="B98" s="13">
        <v>142</v>
      </c>
      <c r="C98" s="6" t="s">
        <v>55</v>
      </c>
      <c r="D98" s="2">
        <v>51</v>
      </c>
      <c r="E98" s="2">
        <v>31348.799999999999</v>
      </c>
      <c r="F98" s="2">
        <v>257.10000000000002</v>
      </c>
      <c r="G98" s="2">
        <v>5406</v>
      </c>
      <c r="H98" s="2">
        <v>26.1</v>
      </c>
      <c r="I98" s="2">
        <v>23.1</v>
      </c>
      <c r="J98" s="2">
        <v>5964.3</v>
      </c>
      <c r="K98" s="2">
        <f>(SUM(H98:I101)+J98)/9</f>
        <v>686.57777777777778</v>
      </c>
      <c r="L98" s="3">
        <f>(E98*G98/F98)/90000</f>
        <v>7.3240681446907807</v>
      </c>
      <c r="M98">
        <v>4</v>
      </c>
    </row>
    <row r="99" spans="1:13" x14ac:dyDescent="0.25">
      <c r="A99" s="5">
        <v>35206</v>
      </c>
      <c r="B99" s="13">
        <v>142</v>
      </c>
      <c r="C99" s="4" t="s">
        <v>56</v>
      </c>
      <c r="D99" t="e">
        <v>#N/A</v>
      </c>
      <c r="E99">
        <v>31348.799999999999</v>
      </c>
      <c r="F99">
        <v>267</v>
      </c>
      <c r="G99">
        <v>6046</v>
      </c>
      <c r="H99">
        <v>31.2</v>
      </c>
      <c r="I99">
        <v>27.6</v>
      </c>
      <c r="J99" t="e">
        <v>#N/A</v>
      </c>
      <c r="K99" t="e">
        <v>#N/A</v>
      </c>
      <c r="L99" s="1">
        <f>(E99*G99/F99)/90000</f>
        <v>7.8874259176029957</v>
      </c>
      <c r="M99">
        <v>4</v>
      </c>
    </row>
    <row r="100" spans="1:13" x14ac:dyDescent="0.25">
      <c r="A100" s="5">
        <v>35206</v>
      </c>
      <c r="B100" s="13">
        <v>142</v>
      </c>
      <c r="C100" s="4" t="s">
        <v>57</v>
      </c>
      <c r="D100" t="e">
        <v>#N/A</v>
      </c>
      <c r="E100">
        <v>31348.799999999999</v>
      </c>
      <c r="F100">
        <v>251.7</v>
      </c>
      <c r="G100">
        <v>4924</v>
      </c>
      <c r="H100">
        <v>26.5</v>
      </c>
      <c r="I100">
        <v>25.9</v>
      </c>
      <c r="J100" t="e">
        <v>#N/A</v>
      </c>
      <c r="K100" t="e">
        <v>#N/A</v>
      </c>
      <c r="L100" s="1">
        <f>(E100*G100/F100)/90000</f>
        <v>6.8141743345252275</v>
      </c>
      <c r="M100">
        <v>4</v>
      </c>
    </row>
    <row r="101" spans="1:13" x14ac:dyDescent="0.25">
      <c r="A101" s="5">
        <v>35206</v>
      </c>
      <c r="B101" s="13">
        <v>142</v>
      </c>
      <c r="C101" s="4" t="s">
        <v>58</v>
      </c>
      <c r="D101" t="e">
        <v>#N/A</v>
      </c>
      <c r="E101">
        <v>31348.799999999999</v>
      </c>
      <c r="F101">
        <v>250.7</v>
      </c>
      <c r="G101">
        <v>5354</v>
      </c>
      <c r="H101">
        <v>27.6</v>
      </c>
      <c r="I101">
        <v>26.9</v>
      </c>
      <c r="J101" t="e">
        <v>#N/A</v>
      </c>
      <c r="K101" t="e">
        <v>#N/A</v>
      </c>
      <c r="L101" s="1">
        <f>(E101*G101/F101)/90000</f>
        <v>7.4387925009972076</v>
      </c>
      <c r="M101">
        <v>4</v>
      </c>
    </row>
    <row r="102" spans="1:13" x14ac:dyDescent="0.25">
      <c r="A102" s="5">
        <v>35206</v>
      </c>
      <c r="B102" s="13">
        <v>142</v>
      </c>
      <c r="C102" s="4" t="s">
        <v>62</v>
      </c>
      <c r="D102">
        <v>54</v>
      </c>
      <c r="E102">
        <v>26876.7</v>
      </c>
      <c r="F102">
        <v>254.3</v>
      </c>
      <c r="G102">
        <v>4750</v>
      </c>
      <c r="H102">
        <v>28.3</v>
      </c>
      <c r="I102">
        <v>27.2</v>
      </c>
      <c r="J102">
        <v>5732.4</v>
      </c>
      <c r="K102">
        <f>(SUM(H102:I105)+J102)/9</f>
        <v>661.78888888888878</v>
      </c>
      <c r="L102" s="1">
        <f>(E102*G102/F102)/90000</f>
        <v>5.5780279197797871</v>
      </c>
      <c r="M102">
        <v>4</v>
      </c>
    </row>
    <row r="103" spans="1:13" x14ac:dyDescent="0.25">
      <c r="A103" s="5">
        <v>35206</v>
      </c>
      <c r="B103" s="13">
        <v>142</v>
      </c>
      <c r="C103" s="4" t="s">
        <v>59</v>
      </c>
      <c r="D103" t="e">
        <v>#N/A</v>
      </c>
      <c r="E103">
        <v>26876.7</v>
      </c>
      <c r="F103">
        <v>246.8</v>
      </c>
      <c r="G103">
        <v>4685</v>
      </c>
      <c r="H103">
        <v>32.1</v>
      </c>
      <c r="I103">
        <v>27.8</v>
      </c>
      <c r="J103" t="e">
        <v>#N/A</v>
      </c>
      <c r="K103" t="e">
        <v>#N/A</v>
      </c>
      <c r="L103" s="1">
        <f>(E103*G103/F103)/90000</f>
        <v>5.6688879659643439</v>
      </c>
      <c r="M103">
        <v>4</v>
      </c>
    </row>
    <row r="104" spans="1:13" x14ac:dyDescent="0.25">
      <c r="A104" s="5">
        <v>35206</v>
      </c>
      <c r="B104" s="13">
        <v>142</v>
      </c>
      <c r="C104" s="4" t="s">
        <v>60</v>
      </c>
      <c r="D104" t="e">
        <v>#N/A</v>
      </c>
      <c r="E104">
        <v>26876.7</v>
      </c>
      <c r="F104">
        <v>240</v>
      </c>
      <c r="G104">
        <v>4623</v>
      </c>
      <c r="H104">
        <v>26.6</v>
      </c>
      <c r="I104">
        <v>24.6</v>
      </c>
      <c r="J104" t="e">
        <v>#N/A</v>
      </c>
      <c r="K104" t="e">
        <v>#N/A</v>
      </c>
      <c r="L104" s="1">
        <f>(E104*G104/F104)/90000</f>
        <v>5.7523603750000003</v>
      </c>
      <c r="M104">
        <v>4</v>
      </c>
    </row>
    <row r="105" spans="1:13" x14ac:dyDescent="0.25">
      <c r="A105" s="5">
        <v>35206</v>
      </c>
      <c r="B105" s="13">
        <v>142</v>
      </c>
      <c r="C105" s="4" t="s">
        <v>61</v>
      </c>
      <c r="D105" t="e">
        <v>#N/A</v>
      </c>
      <c r="E105">
        <v>26876.7</v>
      </c>
      <c r="F105">
        <v>242.8</v>
      </c>
      <c r="G105">
        <v>6193</v>
      </c>
      <c r="H105">
        <v>30.2</v>
      </c>
      <c r="I105">
        <v>26.9</v>
      </c>
      <c r="J105" t="e">
        <v>#N/A</v>
      </c>
      <c r="K105" t="e">
        <v>#N/A</v>
      </c>
      <c r="L105" s="1">
        <f>(E105*G105/F105)/90000</f>
        <v>7.6170329077429981</v>
      </c>
      <c r="M105">
        <v>4</v>
      </c>
    </row>
    <row r="106" spans="1:13" x14ac:dyDescent="0.25">
      <c r="A106" s="5">
        <v>35254</v>
      </c>
      <c r="B106" s="13">
        <v>190</v>
      </c>
      <c r="C106" s="2" t="s">
        <v>55</v>
      </c>
      <c r="D106" s="2">
        <f>(61+60+59+60+70)/5</f>
        <v>62</v>
      </c>
      <c r="E106" s="2">
        <v>14588.1</v>
      </c>
      <c r="F106" s="2">
        <v>232</v>
      </c>
      <c r="G106" s="2">
        <v>3811</v>
      </c>
      <c r="H106" s="2">
        <v>37.299999999999997</v>
      </c>
      <c r="I106" s="2">
        <v>18.7</v>
      </c>
      <c r="J106" s="2">
        <f>422+733+899+874+1029</f>
        <v>3957</v>
      </c>
      <c r="K106" s="2">
        <f>(SUM(H106:I109)+J106)/9</f>
        <v>466.90000000000003</v>
      </c>
      <c r="L106" s="3">
        <f>(E106*G106/F106)/90000</f>
        <v>2.6626077155172414</v>
      </c>
      <c r="M106">
        <v>5</v>
      </c>
    </row>
    <row r="107" spans="1:13" x14ac:dyDescent="0.25">
      <c r="A107" s="5">
        <v>35254</v>
      </c>
      <c r="B107" s="13">
        <v>190</v>
      </c>
      <c r="C107" t="s">
        <v>56</v>
      </c>
      <c r="D107" t="e">
        <v>#N/A</v>
      </c>
      <c r="E107">
        <v>14588.1</v>
      </c>
      <c r="F107">
        <v>248.9</v>
      </c>
      <c r="G107">
        <v>3980</v>
      </c>
      <c r="H107">
        <v>42.1</v>
      </c>
      <c r="I107">
        <v>22.7</v>
      </c>
      <c r="J107" t="e">
        <v>#N/A</v>
      </c>
      <c r="K107" t="e">
        <v>#N/A</v>
      </c>
      <c r="L107" s="1">
        <f>(E107*G107/F107)/90000</f>
        <v>2.5918770590598634</v>
      </c>
      <c r="M107">
        <v>5</v>
      </c>
    </row>
    <row r="108" spans="1:13" x14ac:dyDescent="0.25">
      <c r="A108" s="5">
        <v>35254</v>
      </c>
      <c r="B108" s="13">
        <v>190</v>
      </c>
      <c r="C108" t="s">
        <v>57</v>
      </c>
      <c r="D108" t="e">
        <v>#N/A</v>
      </c>
      <c r="E108">
        <v>14588.1</v>
      </c>
      <c r="F108">
        <v>232.4</v>
      </c>
      <c r="G108">
        <v>3626</v>
      </c>
      <c r="H108">
        <v>41.1</v>
      </c>
      <c r="I108">
        <v>21.6</v>
      </c>
      <c r="J108" t="e">
        <v>#N/A</v>
      </c>
      <c r="K108" t="e">
        <v>#N/A</v>
      </c>
      <c r="L108" s="1">
        <f>(E108*G108/F108)/90000</f>
        <v>2.5289945783132528</v>
      </c>
      <c r="M108">
        <v>5</v>
      </c>
    </row>
    <row r="109" spans="1:13" x14ac:dyDescent="0.25">
      <c r="A109" s="5">
        <v>35254</v>
      </c>
      <c r="B109" s="13">
        <v>190</v>
      </c>
      <c r="C109" t="s">
        <v>58</v>
      </c>
      <c r="D109" t="e">
        <v>#N/A</v>
      </c>
      <c r="E109">
        <v>14588.1</v>
      </c>
      <c r="F109">
        <v>224</v>
      </c>
      <c r="G109">
        <v>3416</v>
      </c>
      <c r="H109">
        <v>39</v>
      </c>
      <c r="I109">
        <v>22.6</v>
      </c>
      <c r="J109" t="e">
        <v>#N/A</v>
      </c>
      <c r="K109" t="e">
        <v>#N/A</v>
      </c>
      <c r="L109" s="1">
        <f>(E109*G109/F109)/90000</f>
        <v>2.4718724999999999</v>
      </c>
      <c r="M109">
        <v>5</v>
      </c>
    </row>
    <row r="110" spans="1:13" x14ac:dyDescent="0.25">
      <c r="A110" s="5">
        <v>35254</v>
      </c>
      <c r="B110" s="13">
        <v>190</v>
      </c>
      <c r="C110" t="s">
        <v>62</v>
      </c>
      <c r="D110">
        <f>(62+59+70+61+57)/5</f>
        <v>61.8</v>
      </c>
      <c r="E110">
        <v>16184</v>
      </c>
      <c r="F110">
        <v>233.9</v>
      </c>
      <c r="G110">
        <v>3932</v>
      </c>
      <c r="H110">
        <v>34.1</v>
      </c>
      <c r="I110">
        <v>18.100000000000001</v>
      </c>
      <c r="J110">
        <f>609+403+1131+676+500</f>
        <v>3319</v>
      </c>
      <c r="K110">
        <f>(SUM(H110:I113)+J110)/9</f>
        <v>393.5</v>
      </c>
      <c r="L110" s="1">
        <f>(E110*G110/F110)/90000</f>
        <v>3.0229199562966134</v>
      </c>
      <c r="M110">
        <v>5</v>
      </c>
    </row>
    <row r="111" spans="1:13" x14ac:dyDescent="0.25">
      <c r="A111" s="5">
        <v>35254</v>
      </c>
      <c r="B111" s="13">
        <v>190</v>
      </c>
      <c r="C111" t="s">
        <v>59</v>
      </c>
      <c r="D111" t="e">
        <v>#N/A</v>
      </c>
      <c r="E111">
        <v>16184</v>
      </c>
      <c r="F111">
        <v>239.7</v>
      </c>
      <c r="G111">
        <v>5422</v>
      </c>
      <c r="H111">
        <v>37.299999999999997</v>
      </c>
      <c r="I111">
        <v>20.7</v>
      </c>
      <c r="J111" t="e">
        <v>#N/A</v>
      </c>
      <c r="K111" t="e">
        <v>#N/A</v>
      </c>
      <c r="L111" s="1">
        <f>(E111*G111/F111)/90000</f>
        <v>4.0675681639085903</v>
      </c>
      <c r="M111">
        <v>5</v>
      </c>
    </row>
    <row r="112" spans="1:13" x14ac:dyDescent="0.25">
      <c r="A112" s="5">
        <v>35254</v>
      </c>
      <c r="B112" s="13">
        <v>190</v>
      </c>
      <c r="C112" t="s">
        <v>60</v>
      </c>
      <c r="D112" t="e">
        <v>#N/A</v>
      </c>
      <c r="E112">
        <v>16184</v>
      </c>
      <c r="F112">
        <v>228.9</v>
      </c>
      <c r="G112">
        <v>3543</v>
      </c>
      <c r="H112">
        <v>36.1</v>
      </c>
      <c r="I112">
        <v>17.5</v>
      </c>
      <c r="J112" t="e">
        <v>#N/A</v>
      </c>
      <c r="K112" t="e">
        <v>#N/A</v>
      </c>
      <c r="L112" s="1">
        <f>(E112*G112/F112)/90000</f>
        <v>2.783355759429154</v>
      </c>
      <c r="M112">
        <v>5</v>
      </c>
    </row>
    <row r="113" spans="1:13" x14ac:dyDescent="0.25">
      <c r="A113" s="5">
        <v>35254</v>
      </c>
      <c r="B113" s="13">
        <v>190</v>
      </c>
      <c r="C113" t="s">
        <v>61</v>
      </c>
      <c r="D113" t="e">
        <v>#N/A</v>
      </c>
      <c r="E113">
        <v>16184</v>
      </c>
      <c r="F113">
        <v>245.4</v>
      </c>
      <c r="G113">
        <v>3588</v>
      </c>
      <c r="H113">
        <v>38.4</v>
      </c>
      <c r="I113">
        <v>20.3</v>
      </c>
      <c r="J113" t="e">
        <v>#N/A</v>
      </c>
      <c r="K113" t="e">
        <v>#N/A</v>
      </c>
      <c r="L113" s="1">
        <f>(E113*G113/F113)/90000</f>
        <v>2.6291855474055961</v>
      </c>
      <c r="M113">
        <v>5</v>
      </c>
    </row>
    <row r="114" spans="1:13" x14ac:dyDescent="0.25">
      <c r="A114" s="5">
        <v>35292</v>
      </c>
      <c r="B114" s="13">
        <v>228</v>
      </c>
      <c r="C114" s="6" t="s">
        <v>55</v>
      </c>
      <c r="D114" s="2">
        <f>(43+43+55+40+40)/5</f>
        <v>44.2</v>
      </c>
      <c r="E114" s="2">
        <f>4683+4170.4+4404.1+5004.5</f>
        <v>18262</v>
      </c>
      <c r="F114" s="2">
        <v>216</v>
      </c>
      <c r="G114" s="2">
        <v>3757</v>
      </c>
      <c r="H114" s="2">
        <v>24.4</v>
      </c>
      <c r="I114" s="2">
        <v>19.8</v>
      </c>
      <c r="J114" s="2">
        <f>1012.8+835+891+932.4</f>
        <v>3671.2000000000003</v>
      </c>
      <c r="K114" s="2">
        <f>(SUM(H114:I117)+J114)/9</f>
        <v>427.87777777777779</v>
      </c>
      <c r="L114" s="3">
        <f>(E114*G114/F114)/90000</f>
        <v>3.5293381687242795</v>
      </c>
      <c r="M114">
        <v>5</v>
      </c>
    </row>
    <row r="115" spans="1:13" x14ac:dyDescent="0.25">
      <c r="A115" s="5">
        <v>35292</v>
      </c>
      <c r="B115" s="13">
        <v>228</v>
      </c>
      <c r="C115" s="4" t="s">
        <v>56</v>
      </c>
      <c r="D115" t="e">
        <v>#N/A</v>
      </c>
      <c r="E115">
        <f>4683+4170.4+4404.1+5004.5</f>
        <v>18262</v>
      </c>
      <c r="F115">
        <v>209.8</v>
      </c>
      <c r="G115">
        <v>2897</v>
      </c>
      <c r="H115">
        <v>25.3</v>
      </c>
      <c r="I115">
        <v>17.600000000000001</v>
      </c>
      <c r="J115" t="e">
        <v>#N/A</v>
      </c>
      <c r="K115" t="e">
        <v>#N/A</v>
      </c>
      <c r="L115" s="1">
        <f>(E115*G115/F115)/90000</f>
        <v>2.8018755428450377</v>
      </c>
      <c r="M115">
        <v>5</v>
      </c>
    </row>
    <row r="116" spans="1:13" x14ac:dyDescent="0.25">
      <c r="A116" s="5">
        <v>35292</v>
      </c>
      <c r="B116" s="13">
        <v>228</v>
      </c>
      <c r="C116" s="4" t="s">
        <v>57</v>
      </c>
      <c r="D116" t="e">
        <v>#N/A</v>
      </c>
      <c r="E116">
        <f>4683+4170.4+4404.1+5004.5</f>
        <v>18262</v>
      </c>
      <c r="F116">
        <v>219.1</v>
      </c>
      <c r="G116">
        <v>2738</v>
      </c>
      <c r="H116">
        <v>26.6</v>
      </c>
      <c r="I116">
        <v>19.399999999999999</v>
      </c>
      <c r="J116" t="e">
        <v>#N/A</v>
      </c>
      <c r="K116" t="e">
        <v>#N/A</v>
      </c>
      <c r="L116" s="1">
        <f>(E116*G116/F116)/90000</f>
        <v>2.5356943049850398</v>
      </c>
      <c r="M116">
        <v>5</v>
      </c>
    </row>
    <row r="117" spans="1:13" x14ac:dyDescent="0.25">
      <c r="A117" s="5">
        <v>35292</v>
      </c>
      <c r="B117" s="13">
        <v>228</v>
      </c>
      <c r="C117" s="4" t="s">
        <v>58</v>
      </c>
      <c r="D117" t="e">
        <v>#N/A</v>
      </c>
      <c r="E117">
        <f>4683+4170.4+4404.1+5004.5</f>
        <v>18262</v>
      </c>
      <c r="F117">
        <v>215.5</v>
      </c>
      <c r="G117">
        <v>3376</v>
      </c>
      <c r="H117">
        <v>29.3</v>
      </c>
      <c r="I117">
        <v>17.3</v>
      </c>
      <c r="J117" t="e">
        <v>#N/A</v>
      </c>
      <c r="K117" t="e">
        <v>#N/A</v>
      </c>
      <c r="L117" s="1">
        <f>(E117*G117/F117)/90000</f>
        <v>3.1787838102603763</v>
      </c>
      <c r="M117">
        <v>5</v>
      </c>
    </row>
    <row r="118" spans="1:13" x14ac:dyDescent="0.25">
      <c r="A118" s="5">
        <v>35292</v>
      </c>
      <c r="B118" s="13">
        <v>228</v>
      </c>
      <c r="C118" s="4" t="s">
        <v>62</v>
      </c>
      <c r="D118">
        <f>(50+45+52+42+47)/5</f>
        <v>47.2</v>
      </c>
      <c r="E118">
        <f>5452.7+2769.1+2528.3+5310.2</f>
        <v>16060.3</v>
      </c>
      <c r="F118">
        <v>211.9</v>
      </c>
      <c r="G118">
        <v>3075</v>
      </c>
      <c r="H118">
        <v>27.5</v>
      </c>
      <c r="I118">
        <v>20.8</v>
      </c>
      <c r="J118">
        <f>535.8+1136+1159.2+563.7</f>
        <v>3394.7</v>
      </c>
      <c r="K118">
        <f>(SUM(H118:I121)+J118)/9</f>
        <v>399.08888888888885</v>
      </c>
      <c r="L118" s="1">
        <f>(E118*G118/F118)/90000</f>
        <v>2.5895560012584551</v>
      </c>
      <c r="M118">
        <v>5</v>
      </c>
    </row>
    <row r="119" spans="1:13" x14ac:dyDescent="0.25">
      <c r="A119" s="5">
        <v>35292</v>
      </c>
      <c r="B119" s="13">
        <v>228</v>
      </c>
      <c r="C119" s="4" t="s">
        <v>59</v>
      </c>
      <c r="D119" t="e">
        <v>#N/A</v>
      </c>
      <c r="E119">
        <f>5452.7+2769.1+2528.3+5310.2</f>
        <v>16060.3</v>
      </c>
      <c r="F119">
        <v>214.4</v>
      </c>
      <c r="G119">
        <v>3122</v>
      </c>
      <c r="H119">
        <v>30.3</v>
      </c>
      <c r="I119">
        <v>17.399999999999999</v>
      </c>
      <c r="J119" t="e">
        <v>#N/A</v>
      </c>
      <c r="K119" t="e">
        <v>#N/A</v>
      </c>
      <c r="L119" s="1">
        <f>(E119*G119/F119)/90000</f>
        <v>2.5984793014096184</v>
      </c>
      <c r="M119">
        <v>5</v>
      </c>
    </row>
    <row r="120" spans="1:13" x14ac:dyDescent="0.25">
      <c r="A120" s="5">
        <v>35292</v>
      </c>
      <c r="B120" s="13">
        <v>228</v>
      </c>
      <c r="C120" s="4" t="s">
        <v>60</v>
      </c>
      <c r="D120" t="e">
        <v>#N/A</v>
      </c>
      <c r="E120">
        <f>5452.7+2769.1+2528.3+5310.2</f>
        <v>16060.3</v>
      </c>
      <c r="F120">
        <v>208.3</v>
      </c>
      <c r="G120">
        <v>2928</v>
      </c>
      <c r="H120">
        <v>29.4</v>
      </c>
      <c r="I120">
        <v>18.899999999999999</v>
      </c>
      <c r="J120" t="e">
        <v>#N/A</v>
      </c>
      <c r="K120" t="e">
        <v>#N/A</v>
      </c>
      <c r="L120" s="1">
        <f>(E120*G120/F120)/90000</f>
        <v>2.5083777884461513</v>
      </c>
      <c r="M120">
        <v>5</v>
      </c>
    </row>
    <row r="121" spans="1:13" x14ac:dyDescent="0.25">
      <c r="A121" s="5">
        <v>35292</v>
      </c>
      <c r="B121" s="13">
        <v>228</v>
      </c>
      <c r="C121" s="4" t="s">
        <v>61</v>
      </c>
      <c r="D121" t="e">
        <v>#N/A</v>
      </c>
      <c r="E121">
        <f>5452.7+2769.1+2528.3+5310.2</f>
        <v>16060.3</v>
      </c>
      <c r="F121">
        <v>222.3</v>
      </c>
      <c r="G121">
        <v>2732</v>
      </c>
      <c r="H121">
        <v>31</v>
      </c>
      <c r="I121">
        <v>21.8</v>
      </c>
      <c r="J121" t="e">
        <v>#N/A</v>
      </c>
      <c r="K121" t="e">
        <v>#N/A</v>
      </c>
      <c r="L121" s="1">
        <f>(E121*G121/F121)/90000</f>
        <v>2.1930694057080022</v>
      </c>
      <c r="M121">
        <v>5</v>
      </c>
    </row>
    <row r="122" spans="1:13" x14ac:dyDescent="0.25">
      <c r="A122" s="5">
        <v>35345</v>
      </c>
      <c r="B122" s="13">
        <v>281</v>
      </c>
      <c r="C122" s="6" t="s">
        <v>55</v>
      </c>
      <c r="D122" s="2">
        <f>(59+60+53+56+51)/5</f>
        <v>55.8</v>
      </c>
      <c r="E122" s="2">
        <f>3101.6+3949+4969.8</f>
        <v>12020.400000000001</v>
      </c>
      <c r="F122" s="2">
        <v>201</v>
      </c>
      <c r="G122" s="2">
        <v>3485</v>
      </c>
      <c r="H122" s="2">
        <v>27.8</v>
      </c>
      <c r="I122" s="2">
        <v>19.100000000000001</v>
      </c>
      <c r="J122" s="2">
        <f>646.8+798.4+1070.3</f>
        <v>2515.5</v>
      </c>
      <c r="K122" s="2">
        <f>(SUM(H122:I125)+J122)/9</f>
        <v>299.72222222222223</v>
      </c>
      <c r="L122" s="3">
        <f>(E122*G122/F122)/90000</f>
        <v>2.3157044776119409</v>
      </c>
      <c r="M122">
        <v>4</v>
      </c>
    </row>
    <row r="123" spans="1:13" x14ac:dyDescent="0.25">
      <c r="A123" s="5">
        <v>35345</v>
      </c>
      <c r="B123" s="13">
        <v>281</v>
      </c>
      <c r="C123" s="4" t="s">
        <v>56</v>
      </c>
      <c r="D123" t="e">
        <v>#N/A</v>
      </c>
      <c r="E123">
        <f>3101.6+3949+4969.8</f>
        <v>12020.400000000001</v>
      </c>
      <c r="F123">
        <v>197.4</v>
      </c>
      <c r="G123">
        <v>3325</v>
      </c>
      <c r="H123">
        <v>27.7</v>
      </c>
      <c r="I123">
        <v>19.3</v>
      </c>
      <c r="J123" t="e">
        <v>#N/A</v>
      </c>
      <c r="K123" t="e">
        <v>#N/A</v>
      </c>
      <c r="L123" s="1">
        <f>(E123*G123/F123)/90000</f>
        <v>2.2496808510638302</v>
      </c>
      <c r="M123">
        <v>4</v>
      </c>
    </row>
    <row r="124" spans="1:13" x14ac:dyDescent="0.25">
      <c r="A124" s="5">
        <v>35345</v>
      </c>
      <c r="B124" s="13">
        <v>281</v>
      </c>
      <c r="C124" s="4" t="s">
        <v>57</v>
      </c>
      <c r="D124" t="e">
        <v>#N/A</v>
      </c>
      <c r="E124">
        <f>3101.6+3949+4969.8</f>
        <v>12020.400000000001</v>
      </c>
      <c r="F124">
        <v>198.4</v>
      </c>
      <c r="G124">
        <v>3898</v>
      </c>
      <c r="H124">
        <v>22.9</v>
      </c>
      <c r="I124">
        <v>19.399999999999999</v>
      </c>
      <c r="J124" t="e">
        <v>#N/A</v>
      </c>
      <c r="K124" t="e">
        <v>#N/A</v>
      </c>
      <c r="L124" s="1">
        <f>(E124*G124/F124)/90000</f>
        <v>2.6240770161290321</v>
      </c>
      <c r="M124">
        <v>4</v>
      </c>
    </row>
    <row r="125" spans="1:13" x14ac:dyDescent="0.25">
      <c r="A125" s="5">
        <v>35345</v>
      </c>
      <c r="B125" s="13">
        <v>281</v>
      </c>
      <c r="C125" s="4" t="s">
        <v>58</v>
      </c>
      <c r="D125" t="e">
        <v>#N/A</v>
      </c>
      <c r="E125">
        <f>3101.6+3949+4969.8</f>
        <v>12020.400000000001</v>
      </c>
      <c r="F125">
        <v>200.9</v>
      </c>
      <c r="G125">
        <v>3609</v>
      </c>
      <c r="H125">
        <v>27.9</v>
      </c>
      <c r="I125">
        <v>17.899999999999999</v>
      </c>
      <c r="J125" t="e">
        <v>#N/A</v>
      </c>
      <c r="K125" t="e">
        <v>#N/A</v>
      </c>
      <c r="L125" s="1">
        <f>(E125*G125/F125)/90000</f>
        <v>2.399293379790941</v>
      </c>
      <c r="M125">
        <v>4</v>
      </c>
    </row>
    <row r="126" spans="1:13" x14ac:dyDescent="0.25">
      <c r="A126" s="5">
        <v>35345</v>
      </c>
      <c r="B126" s="13">
        <v>281</v>
      </c>
      <c r="C126" s="4" t="s">
        <v>62</v>
      </c>
      <c r="D126">
        <f>(55+57+51+60+57)/5</f>
        <v>56</v>
      </c>
      <c r="E126">
        <f>3301.4+3035.4+3951.7</f>
        <v>10288.5</v>
      </c>
      <c r="F126">
        <v>200.1</v>
      </c>
      <c r="G126">
        <v>2832.5</v>
      </c>
      <c r="H126">
        <v>24.8</v>
      </c>
      <c r="I126">
        <v>19.3</v>
      </c>
      <c r="J126">
        <f>685.5+595.4+831.4</f>
        <v>2112.3000000000002</v>
      </c>
      <c r="K126">
        <f>(SUM(H126:I129)+J126)/9</f>
        <v>255.56666666666672</v>
      </c>
      <c r="L126" s="1">
        <f>(E126*G126/F126)/90000</f>
        <v>1.6182006913210061</v>
      </c>
      <c r="M126">
        <v>4</v>
      </c>
    </row>
    <row r="127" spans="1:13" x14ac:dyDescent="0.25">
      <c r="A127" s="5">
        <v>35345</v>
      </c>
      <c r="B127" s="13">
        <v>281</v>
      </c>
      <c r="C127" s="4" t="s">
        <v>59</v>
      </c>
      <c r="D127" t="e">
        <v>#N/A</v>
      </c>
      <c r="E127">
        <f>3301.4+3035.4+3951.7</f>
        <v>10288.5</v>
      </c>
      <c r="F127">
        <v>203</v>
      </c>
      <c r="G127">
        <v>3573</v>
      </c>
      <c r="H127">
        <v>27.9</v>
      </c>
      <c r="I127">
        <v>21.2</v>
      </c>
      <c r="J127" t="e">
        <v>#N/A</v>
      </c>
      <c r="K127" t="e">
        <v>#N/A</v>
      </c>
      <c r="L127" s="1">
        <f>(E127*G127/F127)/90000</f>
        <v>2.0120859605911332</v>
      </c>
      <c r="M127">
        <v>4</v>
      </c>
    </row>
    <row r="128" spans="1:13" x14ac:dyDescent="0.25">
      <c r="A128" s="5">
        <v>35345</v>
      </c>
      <c r="B128" s="13">
        <v>281</v>
      </c>
      <c r="C128" s="4" t="s">
        <v>60</v>
      </c>
      <c r="D128" t="e">
        <v>#N/A</v>
      </c>
      <c r="E128">
        <f>3301.4+3035.4+3951.7</f>
        <v>10288.5</v>
      </c>
      <c r="F128">
        <v>197.3</v>
      </c>
      <c r="G128">
        <v>3150</v>
      </c>
      <c r="H128">
        <v>28.4</v>
      </c>
      <c r="I128">
        <v>18.899999999999999</v>
      </c>
      <c r="J128" t="e">
        <v>#N/A</v>
      </c>
      <c r="K128" t="e">
        <v>#N/A</v>
      </c>
      <c r="L128" s="1">
        <f>(E128*G128/F128)/90000</f>
        <v>1.8251267105930056</v>
      </c>
      <c r="M128">
        <v>4</v>
      </c>
    </row>
    <row r="129" spans="1:13" x14ac:dyDescent="0.25">
      <c r="A129" s="5">
        <v>35345</v>
      </c>
      <c r="B129" s="13">
        <v>281</v>
      </c>
      <c r="C129" s="4" t="s">
        <v>61</v>
      </c>
      <c r="D129" t="e">
        <v>#N/A</v>
      </c>
      <c r="E129">
        <f>3301.4+3035.4+3951.7</f>
        <v>10288.5</v>
      </c>
      <c r="F129">
        <v>197.9</v>
      </c>
      <c r="G129">
        <v>4163</v>
      </c>
      <c r="H129">
        <v>25.6</v>
      </c>
      <c r="I129">
        <v>21.7</v>
      </c>
      <c r="J129" t="e">
        <v>#N/A</v>
      </c>
      <c r="K129" t="e">
        <v>#N/A</v>
      </c>
      <c r="L129" s="1">
        <f>(E129*G129/F129)/90000</f>
        <v>2.4047513053730838</v>
      </c>
      <c r="M129">
        <v>4</v>
      </c>
    </row>
  </sheetData>
  <phoneticPr fontId="1" type="noConversion"/>
  <pageMargins left="0.75" right="0.75" top="1" bottom="1" header="0.5" footer="0.5"/>
  <pageSetup orientation="portrait" horizontalDpi="4294967295" verticalDpi="4294967295" r:id="rId1"/>
  <headerFooter alignWithMargins="0">
    <oddHeader>&amp;L&amp;"Arial"&amp;10c:\elys\alf96\ps96alf.wq1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B6D09-1DAC-4DF8-94FC-DFA002F0B504}">
  <dimension ref="A1:H10"/>
  <sheetViews>
    <sheetView workbookViewId="0">
      <selection activeCell="C8" sqref="C8"/>
    </sheetView>
  </sheetViews>
  <sheetFormatPr defaultColWidth="8.75" defaultRowHeight="15.75" x14ac:dyDescent="0.25"/>
  <cols>
    <col min="1" max="1" width="14.125" style="35" customWidth="1"/>
    <col min="2" max="2" width="21.25" style="35" customWidth="1"/>
    <col min="3" max="3" width="62" style="35" customWidth="1"/>
    <col min="4" max="4" width="15.75" style="35" customWidth="1"/>
    <col min="5" max="5" width="9.5" style="35" customWidth="1"/>
    <col min="6" max="6" width="11" style="35" customWidth="1"/>
    <col min="7" max="7" width="9.75" style="35" customWidth="1"/>
    <col min="8" max="8" width="10.5" style="35" customWidth="1"/>
    <col min="9" max="16384" width="8.75" style="35"/>
  </cols>
  <sheetData>
    <row r="1" spans="1:8" ht="45" x14ac:dyDescent="0.25">
      <c r="A1" s="25" t="s">
        <v>102</v>
      </c>
      <c r="B1" s="25" t="s">
        <v>103</v>
      </c>
      <c r="C1" s="25" t="s">
        <v>104</v>
      </c>
      <c r="D1" s="25" t="s">
        <v>105</v>
      </c>
      <c r="E1" s="25" t="s">
        <v>106</v>
      </c>
      <c r="F1" s="25" t="s">
        <v>107</v>
      </c>
      <c r="G1" s="25" t="s">
        <v>108</v>
      </c>
      <c r="H1" s="25" t="s">
        <v>109</v>
      </c>
    </row>
    <row r="2" spans="1:8" ht="30" x14ac:dyDescent="0.2">
      <c r="A2" s="15" t="s">
        <v>146</v>
      </c>
      <c r="B2" s="37" t="s">
        <v>51</v>
      </c>
      <c r="C2" s="26" t="s">
        <v>110</v>
      </c>
      <c r="D2" s="36" t="s">
        <v>111</v>
      </c>
      <c r="E2" s="15">
        <v>10</v>
      </c>
      <c r="F2" s="15"/>
      <c r="G2" s="15" t="s">
        <v>112</v>
      </c>
      <c r="H2" s="15" t="s">
        <v>113</v>
      </c>
    </row>
    <row r="3" spans="1:8" x14ac:dyDescent="0.2">
      <c r="A3" s="15" t="s">
        <v>146</v>
      </c>
      <c r="B3" s="38" t="s">
        <v>137</v>
      </c>
      <c r="C3" s="26" t="s">
        <v>137</v>
      </c>
      <c r="D3" s="26" t="s">
        <v>140</v>
      </c>
      <c r="E3" s="15">
        <v>4</v>
      </c>
      <c r="F3" s="15"/>
      <c r="G3" s="15" t="s">
        <v>112</v>
      </c>
      <c r="H3" s="15" t="s">
        <v>113</v>
      </c>
    </row>
    <row r="4" spans="1:8" x14ac:dyDescent="0.2">
      <c r="A4" s="15" t="s">
        <v>146</v>
      </c>
      <c r="B4" s="38" t="s">
        <v>52</v>
      </c>
      <c r="C4" s="26" t="s">
        <v>114</v>
      </c>
      <c r="D4" s="26" t="s">
        <v>115</v>
      </c>
      <c r="E4" s="15">
        <v>3</v>
      </c>
      <c r="F4" s="15" t="s">
        <v>116</v>
      </c>
      <c r="G4" s="15" t="s">
        <v>112</v>
      </c>
      <c r="H4" s="15" t="s">
        <v>113</v>
      </c>
    </row>
    <row r="5" spans="1:8" ht="38.25" x14ac:dyDescent="0.2">
      <c r="A5" s="15" t="s">
        <v>146</v>
      </c>
      <c r="B5" s="38" t="s">
        <v>138</v>
      </c>
      <c r="C5" s="26" t="s">
        <v>147</v>
      </c>
      <c r="D5" s="26" t="s">
        <v>117</v>
      </c>
      <c r="E5" s="15">
        <v>2</v>
      </c>
      <c r="F5" s="15" t="s">
        <v>141</v>
      </c>
      <c r="G5" s="15" t="s">
        <v>112</v>
      </c>
      <c r="H5" s="15" t="s">
        <v>113</v>
      </c>
    </row>
    <row r="6" spans="1:8" x14ac:dyDescent="0.2">
      <c r="A6" s="15" t="s">
        <v>146</v>
      </c>
      <c r="B6" s="38" t="s">
        <v>151</v>
      </c>
      <c r="C6" s="26" t="s">
        <v>142</v>
      </c>
      <c r="D6" s="26" t="s">
        <v>117</v>
      </c>
      <c r="E6" s="15"/>
      <c r="F6" s="15"/>
      <c r="G6" s="15" t="s">
        <v>112</v>
      </c>
      <c r="H6" s="15" t="s">
        <v>113</v>
      </c>
    </row>
    <row r="7" spans="1:8" x14ac:dyDescent="0.2">
      <c r="A7" s="15" t="s">
        <v>146</v>
      </c>
      <c r="B7" s="38" t="s">
        <v>150</v>
      </c>
      <c r="C7" s="26" t="s">
        <v>143</v>
      </c>
      <c r="D7" s="26" t="s">
        <v>117</v>
      </c>
      <c r="E7" s="15"/>
      <c r="F7" s="15" t="s">
        <v>118</v>
      </c>
      <c r="G7" s="15" t="s">
        <v>112</v>
      </c>
      <c r="H7" s="15" t="s">
        <v>113</v>
      </c>
    </row>
    <row r="8" spans="1:8" ht="25.5" x14ac:dyDescent="0.2">
      <c r="A8" s="15" t="s">
        <v>146</v>
      </c>
      <c r="B8" s="38" t="s">
        <v>148</v>
      </c>
      <c r="C8" s="26" t="s">
        <v>144</v>
      </c>
      <c r="D8" s="26" t="s">
        <v>117</v>
      </c>
      <c r="E8" s="15"/>
      <c r="F8" s="15"/>
      <c r="G8" s="15" t="s">
        <v>112</v>
      </c>
      <c r="H8" s="15" t="s">
        <v>113</v>
      </c>
    </row>
    <row r="9" spans="1:8" x14ac:dyDescent="0.2">
      <c r="A9" s="15" t="s">
        <v>146</v>
      </c>
      <c r="B9" s="39" t="s">
        <v>139</v>
      </c>
      <c r="C9" s="26" t="s">
        <v>119</v>
      </c>
      <c r="D9" s="26" t="s">
        <v>117</v>
      </c>
      <c r="E9" s="15"/>
      <c r="F9" s="15" t="s">
        <v>118</v>
      </c>
      <c r="G9" s="15" t="s">
        <v>112</v>
      </c>
      <c r="H9" s="15" t="s">
        <v>113</v>
      </c>
    </row>
    <row r="10" spans="1:8" ht="25.5" x14ac:dyDescent="0.2">
      <c r="A10" s="15" t="s">
        <v>146</v>
      </c>
      <c r="B10" s="39" t="s">
        <v>149</v>
      </c>
      <c r="C10" s="26" t="s">
        <v>145</v>
      </c>
      <c r="D10" s="26" t="s">
        <v>117</v>
      </c>
      <c r="E10" s="15"/>
      <c r="F10" s="15"/>
      <c r="G10" s="15" t="s">
        <v>112</v>
      </c>
      <c r="H10" s="15" t="s">
        <v>113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60FCA-786D-44FC-AC0D-3FA47470FC1B}">
  <dimension ref="A1:K41"/>
  <sheetViews>
    <sheetView workbookViewId="0">
      <selection activeCell="E1" sqref="E1"/>
    </sheetView>
  </sheetViews>
  <sheetFormatPr defaultRowHeight="15.75" x14ac:dyDescent="0.25"/>
  <cols>
    <col min="1" max="1" width="11.875" customWidth="1"/>
    <col min="10" max="10" width="10.25" bestFit="1" customWidth="1"/>
  </cols>
  <sheetData>
    <row r="1" spans="1:11" ht="60.75" x14ac:dyDescent="0.25">
      <c r="A1" s="27" t="s">
        <v>51</v>
      </c>
      <c r="B1" s="28" t="s">
        <v>137</v>
      </c>
      <c r="C1" s="28" t="s">
        <v>52</v>
      </c>
      <c r="D1" s="28" t="s">
        <v>138</v>
      </c>
      <c r="E1" s="28" t="s">
        <v>151</v>
      </c>
      <c r="F1" s="28" t="s">
        <v>150</v>
      </c>
      <c r="G1" s="28" t="s">
        <v>148</v>
      </c>
      <c r="H1" s="29" t="s">
        <v>139</v>
      </c>
      <c r="I1" s="29" t="s">
        <v>149</v>
      </c>
      <c r="J1" s="30"/>
      <c r="K1" s="31"/>
    </row>
    <row r="2" spans="1:11" x14ac:dyDescent="0.25">
      <c r="A2" s="32">
        <f>DATE(B2,1,C2)</f>
        <v>35206</v>
      </c>
      <c r="B2" s="31">
        <v>1996</v>
      </c>
      <c r="C2" s="31">
        <v>142</v>
      </c>
      <c r="D2" s="31">
        <v>1</v>
      </c>
      <c r="E2" s="33">
        <v>6502.7002163200004</v>
      </c>
      <c r="F2" s="31">
        <v>0.183</v>
      </c>
      <c r="G2" s="33">
        <v>5312.7060767334406</v>
      </c>
      <c r="H2">
        <v>9.4405594405594401E-2</v>
      </c>
      <c r="I2">
        <f>G2/($E$18*H2)</f>
        <v>11.077309629629632</v>
      </c>
      <c r="K2" s="31"/>
    </row>
    <row r="3" spans="1:11" x14ac:dyDescent="0.25">
      <c r="A3" s="32">
        <f t="shared" ref="A3:A41" si="0">DATE(B3,1,C3)</f>
        <v>35206</v>
      </c>
      <c r="B3" s="31">
        <v>1996</v>
      </c>
      <c r="C3" s="31">
        <v>142</v>
      </c>
      <c r="D3" s="31">
        <v>2</v>
      </c>
      <c r="E3" s="33">
        <v>8843.917234075001</v>
      </c>
      <c r="F3" s="31">
        <v>0.183</v>
      </c>
      <c r="G3" s="33">
        <v>7225.4803802392762</v>
      </c>
      <c r="H3">
        <v>0.10489510489510488</v>
      </c>
      <c r="I3">
        <f t="shared" ref="I3:I41" si="1">G3/($E$18*H3)</f>
        <v>13.559002514880955</v>
      </c>
      <c r="J3" s="30"/>
      <c r="K3" s="31"/>
    </row>
    <row r="4" spans="1:11" x14ac:dyDescent="0.25">
      <c r="A4" s="32">
        <f t="shared" si="0"/>
        <v>35206</v>
      </c>
      <c r="B4" s="31">
        <v>1996</v>
      </c>
      <c r="C4" s="31">
        <v>142</v>
      </c>
      <c r="D4" s="31">
        <v>3</v>
      </c>
      <c r="E4" s="33">
        <v>5248.2905170849999</v>
      </c>
      <c r="F4" s="31">
        <v>0.183</v>
      </c>
      <c r="G4" s="33">
        <v>4287.8533524584454</v>
      </c>
      <c r="H4">
        <v>7.6923076923076913E-2</v>
      </c>
      <c r="I4">
        <f t="shared" si="1"/>
        <v>10.972346473214289</v>
      </c>
      <c r="J4" s="30"/>
      <c r="K4" s="31"/>
    </row>
    <row r="5" spans="1:11" x14ac:dyDescent="0.25">
      <c r="A5" s="32">
        <f t="shared" si="0"/>
        <v>35206</v>
      </c>
      <c r="B5" s="31">
        <v>1996</v>
      </c>
      <c r="C5" s="31">
        <v>142</v>
      </c>
      <c r="D5" s="31">
        <v>4</v>
      </c>
      <c r="E5" s="33">
        <v>8406.9943836724997</v>
      </c>
      <c r="F5" s="31">
        <v>0.183</v>
      </c>
      <c r="G5" s="33">
        <v>6868.5144114604318</v>
      </c>
      <c r="H5">
        <v>0.10489510489510488</v>
      </c>
      <c r="I5">
        <f t="shared" si="1"/>
        <v>12.889136677083332</v>
      </c>
      <c r="J5" s="30"/>
      <c r="K5" s="31"/>
    </row>
    <row r="6" spans="1:11" x14ac:dyDescent="0.25">
      <c r="A6" s="32">
        <f t="shared" si="0"/>
        <v>35206</v>
      </c>
      <c r="B6" s="31">
        <v>1996</v>
      </c>
      <c r="C6" s="31">
        <v>142</v>
      </c>
      <c r="D6" s="31">
        <v>5</v>
      </c>
      <c r="E6" s="33">
        <v>7980.9577501500007</v>
      </c>
      <c r="F6" s="31">
        <v>0.16300000000000001</v>
      </c>
      <c r="G6" s="33">
        <v>6680.0616368755509</v>
      </c>
      <c r="H6">
        <v>0.10489510489510488</v>
      </c>
      <c r="I6">
        <f t="shared" si="1"/>
        <v>12.535494910714288</v>
      </c>
      <c r="J6" s="30"/>
      <c r="K6" s="31"/>
    </row>
    <row r="7" spans="1:11" x14ac:dyDescent="0.25">
      <c r="A7" s="32">
        <f t="shared" si="0"/>
        <v>35206</v>
      </c>
      <c r="B7" s="31">
        <v>1996</v>
      </c>
      <c r="C7" s="31">
        <v>142</v>
      </c>
      <c r="D7" s="31">
        <v>6</v>
      </c>
      <c r="E7" s="33">
        <v>7284.6934622000008</v>
      </c>
      <c r="F7" s="31">
        <v>0.16300000000000001</v>
      </c>
      <c r="G7" s="33">
        <v>6097.2884278614001</v>
      </c>
      <c r="H7">
        <v>0.10489510489510488</v>
      </c>
      <c r="I7">
        <f t="shared" si="1"/>
        <v>11.441889642857143</v>
      </c>
      <c r="J7" s="30"/>
      <c r="K7" s="31"/>
    </row>
    <row r="8" spans="1:11" x14ac:dyDescent="0.25">
      <c r="A8" s="32">
        <f t="shared" si="0"/>
        <v>35206</v>
      </c>
      <c r="B8" s="31">
        <v>1996</v>
      </c>
      <c r="C8" s="31">
        <v>142</v>
      </c>
      <c r="D8" s="31">
        <v>7</v>
      </c>
      <c r="E8" s="33">
        <v>7796.1188593750003</v>
      </c>
      <c r="F8" s="31">
        <v>0.16300000000000001</v>
      </c>
      <c r="G8" s="33">
        <v>6525.3514852968747</v>
      </c>
      <c r="H8">
        <v>0.10489510489510488</v>
      </c>
      <c r="I8">
        <f t="shared" si="1"/>
        <v>12.24517299107143</v>
      </c>
      <c r="J8" s="30"/>
      <c r="K8" s="31"/>
    </row>
    <row r="9" spans="1:11" x14ac:dyDescent="0.25">
      <c r="A9" s="32">
        <f t="shared" si="0"/>
        <v>35206</v>
      </c>
      <c r="B9" s="31">
        <v>1996</v>
      </c>
      <c r="C9" s="31">
        <v>142</v>
      </c>
      <c r="D9" s="31">
        <v>8</v>
      </c>
      <c r="E9" s="33">
        <v>5291.8920836512507</v>
      </c>
      <c r="F9" s="31">
        <v>0.20499999999999999</v>
      </c>
      <c r="G9" s="33">
        <v>4207.0542065027439</v>
      </c>
      <c r="H9">
        <v>7.3426573426573438E-2</v>
      </c>
      <c r="I9">
        <f t="shared" si="1"/>
        <v>11.278233529974489</v>
      </c>
      <c r="J9" s="30"/>
      <c r="K9" s="31"/>
    </row>
    <row r="10" spans="1:11" x14ac:dyDescent="0.25">
      <c r="A10" s="32">
        <f t="shared" si="0"/>
        <v>35206</v>
      </c>
      <c r="B10" s="31">
        <v>1996</v>
      </c>
      <c r="C10" s="31">
        <v>142</v>
      </c>
      <c r="D10" s="31">
        <v>9</v>
      </c>
      <c r="E10" s="33">
        <v>8165.7966409250002</v>
      </c>
      <c r="F10" s="31">
        <v>0.20499999999999999</v>
      </c>
      <c r="G10" s="33">
        <v>6491.8083295353754</v>
      </c>
      <c r="H10">
        <v>0.10489510489510488</v>
      </c>
      <c r="I10">
        <f t="shared" si="1"/>
        <v>12.182227455357145</v>
      </c>
      <c r="J10" s="30"/>
      <c r="K10" s="31"/>
    </row>
    <row r="11" spans="1:11" x14ac:dyDescent="0.25">
      <c r="A11" s="32">
        <f t="shared" si="0"/>
        <v>35206</v>
      </c>
      <c r="B11" s="31">
        <v>1996</v>
      </c>
      <c r="C11" s="31">
        <v>142</v>
      </c>
      <c r="D11" s="31">
        <v>10</v>
      </c>
      <c r="E11" s="33">
        <v>6377.2819260114584</v>
      </c>
      <c r="F11" s="31">
        <v>0.20499999999999999</v>
      </c>
      <c r="G11" s="33">
        <v>5069.9391311791096</v>
      </c>
      <c r="H11">
        <v>0.12587412587412589</v>
      </c>
      <c r="I11">
        <f t="shared" si="1"/>
        <v>7.9283445312455969</v>
      </c>
      <c r="J11" s="30"/>
      <c r="K11" s="31"/>
    </row>
    <row r="12" spans="1:11" x14ac:dyDescent="0.25">
      <c r="A12" s="32">
        <f t="shared" si="0"/>
        <v>35252</v>
      </c>
      <c r="B12" s="31">
        <v>1996</v>
      </c>
      <c r="C12" s="31">
        <v>188</v>
      </c>
      <c r="D12" s="31">
        <v>1</v>
      </c>
      <c r="E12" s="34">
        <v>4445.205226</v>
      </c>
      <c r="F12" s="31">
        <v>0.17100000000000001</v>
      </c>
      <c r="G12" s="34">
        <v>3685.0751323539998</v>
      </c>
      <c r="H12">
        <v>9.4405594405594401E-2</v>
      </c>
      <c r="I12">
        <f t="shared" si="1"/>
        <v>7.6836018518518516</v>
      </c>
      <c r="J12" s="30"/>
      <c r="K12" s="31"/>
    </row>
    <row r="13" spans="1:11" x14ac:dyDescent="0.25">
      <c r="A13" s="32">
        <f t="shared" si="0"/>
        <v>35252</v>
      </c>
      <c r="B13" s="31">
        <v>1996</v>
      </c>
      <c r="C13" s="31">
        <v>188</v>
      </c>
      <c r="D13" s="31">
        <v>2</v>
      </c>
      <c r="E13" s="34">
        <v>5080.2345439999999</v>
      </c>
      <c r="F13" s="31">
        <v>0.17100000000000001</v>
      </c>
      <c r="G13" s="34">
        <v>4211.5144369760001</v>
      </c>
      <c r="H13">
        <v>0.10489510489510488</v>
      </c>
      <c r="I13">
        <f t="shared" si="1"/>
        <v>7.9031333333333338</v>
      </c>
      <c r="J13" s="30"/>
      <c r="K13" s="31"/>
    </row>
    <row r="14" spans="1:11" x14ac:dyDescent="0.25">
      <c r="A14" s="32">
        <f t="shared" si="0"/>
        <v>35252</v>
      </c>
      <c r="B14" s="31">
        <v>1996</v>
      </c>
      <c r="C14" s="31">
        <v>188</v>
      </c>
      <c r="D14" s="31">
        <v>3</v>
      </c>
      <c r="E14" s="34">
        <v>3175.1465900000003</v>
      </c>
      <c r="F14" s="31">
        <v>0.17100000000000001</v>
      </c>
      <c r="G14" s="34">
        <v>2632.1965231100003</v>
      </c>
      <c r="H14">
        <v>7.6923076923076913E-2</v>
      </c>
      <c r="I14">
        <f t="shared" si="1"/>
        <v>6.7356250000000015</v>
      </c>
      <c r="J14" s="30"/>
      <c r="K14" s="31"/>
    </row>
    <row r="15" spans="1:11" x14ac:dyDescent="0.25">
      <c r="A15" s="32">
        <f t="shared" si="0"/>
        <v>35252</v>
      </c>
      <c r="B15" s="31">
        <v>1996</v>
      </c>
      <c r="C15" s="31">
        <v>188</v>
      </c>
      <c r="D15" s="31">
        <v>4</v>
      </c>
      <c r="E15" s="34">
        <v>5715.2638620000007</v>
      </c>
      <c r="F15" s="31">
        <v>0.17100000000000001</v>
      </c>
      <c r="G15" s="34">
        <v>4737.9537415980003</v>
      </c>
      <c r="H15">
        <v>0.10489510489510488</v>
      </c>
      <c r="I15">
        <f t="shared" si="1"/>
        <v>8.8910250000000008</v>
      </c>
      <c r="J15" s="30"/>
      <c r="K15" s="31"/>
    </row>
    <row r="16" spans="1:11" x14ac:dyDescent="0.25">
      <c r="A16" s="32">
        <f t="shared" si="0"/>
        <v>35252</v>
      </c>
      <c r="B16" s="31">
        <v>1996</v>
      </c>
      <c r="C16" s="31">
        <v>188</v>
      </c>
      <c r="D16" s="31">
        <v>5</v>
      </c>
      <c r="E16" s="34">
        <v>4445.205226</v>
      </c>
      <c r="F16" s="31">
        <v>0.17699999999999999</v>
      </c>
      <c r="G16" s="34">
        <v>3658.4039009980002</v>
      </c>
      <c r="H16">
        <v>0.10489510489510488</v>
      </c>
      <c r="I16">
        <f t="shared" si="1"/>
        <v>6.8651916666666679</v>
      </c>
      <c r="J16" s="30"/>
      <c r="K16" s="31"/>
    </row>
    <row r="17" spans="1:11" x14ac:dyDescent="0.25">
      <c r="A17" s="32">
        <f t="shared" si="0"/>
        <v>35252</v>
      </c>
      <c r="B17" s="31">
        <v>1996</v>
      </c>
      <c r="C17" s="31">
        <v>188</v>
      </c>
      <c r="D17" s="31">
        <v>6</v>
      </c>
      <c r="E17" s="34">
        <v>5715.2638620000007</v>
      </c>
      <c r="F17" s="31">
        <v>0.17699999999999999</v>
      </c>
      <c r="G17" s="34">
        <v>4703.662158426001</v>
      </c>
      <c r="H17">
        <v>0.10489510489510488</v>
      </c>
      <c r="I17">
        <f t="shared" si="1"/>
        <v>8.8266750000000034</v>
      </c>
      <c r="J17" s="30"/>
      <c r="K17" s="31"/>
    </row>
    <row r="18" spans="1:11" x14ac:dyDescent="0.25">
      <c r="A18" s="32">
        <f t="shared" si="0"/>
        <v>35252</v>
      </c>
      <c r="B18" s="31">
        <v>1996</v>
      </c>
      <c r="C18" s="31">
        <v>188</v>
      </c>
      <c r="D18" s="31">
        <v>7</v>
      </c>
      <c r="E18" s="34">
        <v>5080.2345439999999</v>
      </c>
      <c r="F18" s="31">
        <v>0.17699999999999999</v>
      </c>
      <c r="G18" s="34">
        <v>4181.0330297119999</v>
      </c>
      <c r="H18">
        <v>0.10489510489510488</v>
      </c>
      <c r="I18">
        <f t="shared" si="1"/>
        <v>7.8459333333333339</v>
      </c>
      <c r="J18" s="30"/>
      <c r="K18" s="31"/>
    </row>
    <row r="19" spans="1:11" x14ac:dyDescent="0.25">
      <c r="A19" s="32">
        <f t="shared" si="0"/>
        <v>35252</v>
      </c>
      <c r="B19" s="31">
        <v>1996</v>
      </c>
      <c r="C19" s="31">
        <v>188</v>
      </c>
      <c r="D19" s="31">
        <v>8</v>
      </c>
      <c r="E19" s="34">
        <v>3810.1759080000002</v>
      </c>
      <c r="F19" s="31">
        <v>0.19</v>
      </c>
      <c r="G19" s="34">
        <v>3086.2424854800001</v>
      </c>
      <c r="H19">
        <v>7.3426573426573438E-2</v>
      </c>
      <c r="I19">
        <f t="shared" si="1"/>
        <v>8.2735714285714277</v>
      </c>
      <c r="J19" s="30"/>
      <c r="K19" s="31"/>
    </row>
    <row r="20" spans="1:11" x14ac:dyDescent="0.25">
      <c r="A20" s="32">
        <f t="shared" si="0"/>
        <v>35252</v>
      </c>
      <c r="B20" s="31">
        <v>1996</v>
      </c>
      <c r="C20" s="31">
        <v>188</v>
      </c>
      <c r="D20" s="31">
        <v>9</v>
      </c>
      <c r="E20" s="34">
        <v>5080.2345439999999</v>
      </c>
      <c r="F20" s="31">
        <v>0.19</v>
      </c>
      <c r="G20" s="34">
        <v>4114.9899806399999</v>
      </c>
      <c r="H20">
        <v>0.10489510489510488</v>
      </c>
      <c r="I20">
        <f t="shared" si="1"/>
        <v>7.7220000000000004</v>
      </c>
      <c r="J20" s="30"/>
      <c r="K20" s="31"/>
    </row>
    <row r="21" spans="1:11" x14ac:dyDescent="0.25">
      <c r="A21" s="32">
        <f t="shared" si="0"/>
        <v>35252</v>
      </c>
      <c r="B21" s="31">
        <v>1996</v>
      </c>
      <c r="C21" s="31">
        <v>188</v>
      </c>
      <c r="D21" s="31">
        <v>10</v>
      </c>
      <c r="E21" s="34">
        <v>4445.205226</v>
      </c>
      <c r="F21" s="31">
        <v>0.19</v>
      </c>
      <c r="G21" s="34">
        <v>3600.61623306</v>
      </c>
      <c r="H21">
        <v>0.12587412587412589</v>
      </c>
      <c r="I21">
        <f t="shared" si="1"/>
        <v>5.6306250000000002</v>
      </c>
      <c r="J21" s="30"/>
      <c r="K21" s="31"/>
    </row>
    <row r="22" spans="1:11" x14ac:dyDescent="0.25">
      <c r="A22" s="32">
        <f t="shared" si="0"/>
        <v>35291</v>
      </c>
      <c r="B22" s="31">
        <v>1996</v>
      </c>
      <c r="C22" s="31">
        <v>227</v>
      </c>
      <c r="D22" s="31">
        <v>1</v>
      </c>
      <c r="E22" s="33">
        <v>4059.1981191300001</v>
      </c>
      <c r="F22" s="31">
        <v>0.19</v>
      </c>
      <c r="G22" s="33">
        <v>3287.9504764952999</v>
      </c>
      <c r="H22">
        <v>9.4405594405594401E-2</v>
      </c>
      <c r="I22">
        <f t="shared" si="1"/>
        <v>6.8555732142857142</v>
      </c>
      <c r="J22" s="30"/>
      <c r="K22" s="31"/>
    </row>
    <row r="23" spans="1:11" x14ac:dyDescent="0.25">
      <c r="A23" s="32">
        <f t="shared" si="0"/>
        <v>35291</v>
      </c>
      <c r="B23" s="31">
        <v>1996</v>
      </c>
      <c r="C23" s="31">
        <v>227</v>
      </c>
      <c r="D23" s="31">
        <v>2</v>
      </c>
      <c r="E23" s="33">
        <v>4375.5787972050002</v>
      </c>
      <c r="F23" s="31">
        <v>0.19</v>
      </c>
      <c r="G23" s="33">
        <v>3544.2188257360503</v>
      </c>
      <c r="H23">
        <v>0.10489510489510488</v>
      </c>
      <c r="I23">
        <f t="shared" si="1"/>
        <v>6.6509172321428585</v>
      </c>
      <c r="J23" s="30"/>
      <c r="K23" s="31"/>
    </row>
    <row r="24" spans="1:11" x14ac:dyDescent="0.25">
      <c r="A24" s="32">
        <f t="shared" si="0"/>
        <v>35291</v>
      </c>
      <c r="B24" s="31">
        <v>1996</v>
      </c>
      <c r="C24" s="31">
        <v>227</v>
      </c>
      <c r="D24" s="31">
        <v>3</v>
      </c>
      <c r="E24" s="33">
        <v>2395.8748983400001</v>
      </c>
      <c r="F24" s="31">
        <v>0.19</v>
      </c>
      <c r="G24" s="33">
        <v>1940.6586676554</v>
      </c>
      <c r="H24">
        <v>7.6923076923076913E-2</v>
      </c>
      <c r="I24">
        <f t="shared" si="1"/>
        <v>4.9660232142857152</v>
      </c>
      <c r="J24" s="30"/>
      <c r="K24" s="31"/>
    </row>
    <row r="25" spans="1:11" x14ac:dyDescent="0.25">
      <c r="A25" s="32">
        <f t="shared" si="0"/>
        <v>35291</v>
      </c>
      <c r="B25" s="31">
        <v>1996</v>
      </c>
      <c r="C25" s="31">
        <v>227</v>
      </c>
      <c r="D25" s="31">
        <v>4</v>
      </c>
      <c r="E25" s="33">
        <v>4404.8355050700002</v>
      </c>
      <c r="F25" s="31">
        <v>0.191</v>
      </c>
      <c r="G25" s="33">
        <v>3563.5119236016299</v>
      </c>
      <c r="H25">
        <v>0.10489510489510488</v>
      </c>
      <c r="I25">
        <f t="shared" si="1"/>
        <v>6.6871217678571435</v>
      </c>
      <c r="J25" s="30"/>
      <c r="K25" s="31"/>
    </row>
    <row r="26" spans="1:11" x14ac:dyDescent="0.25">
      <c r="A26" s="32">
        <f t="shared" si="0"/>
        <v>35291</v>
      </c>
      <c r="B26" s="31">
        <v>1996</v>
      </c>
      <c r="C26" s="31">
        <v>227</v>
      </c>
      <c r="D26" s="31">
        <v>5</v>
      </c>
      <c r="E26" s="33">
        <v>4548.9644806374999</v>
      </c>
      <c r="F26" s="31">
        <v>0.191</v>
      </c>
      <c r="G26" s="33">
        <v>3680.1122648357373</v>
      </c>
      <c r="H26">
        <v>0.10489510489510488</v>
      </c>
      <c r="I26">
        <f t="shared" si="1"/>
        <v>6.9059285788690481</v>
      </c>
      <c r="J26" s="30"/>
      <c r="K26" s="31"/>
    </row>
    <row r="27" spans="1:11" x14ac:dyDescent="0.25">
      <c r="A27" s="32">
        <f t="shared" si="0"/>
        <v>35291</v>
      </c>
      <c r="B27" s="31">
        <v>1996</v>
      </c>
      <c r="C27" s="31">
        <v>227</v>
      </c>
      <c r="D27" s="31">
        <v>6</v>
      </c>
      <c r="E27" s="33">
        <v>3678.80421783875</v>
      </c>
      <c r="F27" s="31">
        <v>0.191</v>
      </c>
      <c r="G27" s="33">
        <v>2976.1526122315486</v>
      </c>
      <c r="H27">
        <v>0.10489510489510488</v>
      </c>
      <c r="I27">
        <f t="shared" si="1"/>
        <v>5.5849104322916672</v>
      </c>
      <c r="J27" s="30"/>
      <c r="K27" s="31"/>
    </row>
    <row r="28" spans="1:11" x14ac:dyDescent="0.25">
      <c r="A28" s="32">
        <f t="shared" si="0"/>
        <v>35291</v>
      </c>
      <c r="B28" s="31">
        <v>1996</v>
      </c>
      <c r="C28" s="31">
        <v>227</v>
      </c>
      <c r="D28" s="31">
        <v>7</v>
      </c>
      <c r="E28" s="33">
        <v>3976.58760874375</v>
      </c>
      <c r="F28" s="31">
        <v>0.14000000000000001</v>
      </c>
      <c r="G28" s="33">
        <v>3419.8653435196247</v>
      </c>
      <c r="H28">
        <v>0.10489510489510488</v>
      </c>
      <c r="I28">
        <f t="shared" si="1"/>
        <v>6.4175612351190479</v>
      </c>
      <c r="J28" s="30"/>
      <c r="K28" s="31"/>
    </row>
    <row r="29" spans="1:11" x14ac:dyDescent="0.25">
      <c r="A29" s="32">
        <f t="shared" si="0"/>
        <v>35291</v>
      </c>
      <c r="B29" s="31">
        <v>1996</v>
      </c>
      <c r="C29" s="31">
        <v>227</v>
      </c>
      <c r="D29" s="31">
        <v>8</v>
      </c>
      <c r="E29" s="33">
        <v>2561.49281243625</v>
      </c>
      <c r="F29" s="31">
        <v>0.14000000000000001</v>
      </c>
      <c r="G29" s="33">
        <v>2202.8838186951748</v>
      </c>
      <c r="H29">
        <v>7.3426573426573438E-2</v>
      </c>
      <c r="I29">
        <f t="shared" si="1"/>
        <v>5.9054713647959174</v>
      </c>
      <c r="J29" s="30"/>
      <c r="K29" s="31"/>
    </row>
    <row r="30" spans="1:11" x14ac:dyDescent="0.25">
      <c r="A30" s="32">
        <f t="shared" si="0"/>
        <v>35291</v>
      </c>
      <c r="B30" s="31">
        <v>1996</v>
      </c>
      <c r="C30" s="31">
        <v>227</v>
      </c>
      <c r="D30" s="31">
        <v>9</v>
      </c>
      <c r="E30" s="33">
        <v>3984.8656694962501</v>
      </c>
      <c r="F30" s="31">
        <v>0.14000000000000001</v>
      </c>
      <c r="G30" s="33">
        <v>3426.9844757667752</v>
      </c>
      <c r="H30">
        <v>0.10489510489510488</v>
      </c>
      <c r="I30">
        <f t="shared" si="1"/>
        <v>6.430920669642858</v>
      </c>
      <c r="J30" s="30"/>
      <c r="K30" s="31"/>
    </row>
    <row r="31" spans="1:11" x14ac:dyDescent="0.25">
      <c r="A31" s="32">
        <f t="shared" si="0"/>
        <v>35291</v>
      </c>
      <c r="B31" s="31">
        <v>1996</v>
      </c>
      <c r="C31" s="31">
        <v>227</v>
      </c>
      <c r="D31" s="31">
        <v>10</v>
      </c>
      <c r="E31" s="33">
        <v>4712.3144328837507</v>
      </c>
      <c r="F31" s="31">
        <v>0.14000000000000001</v>
      </c>
      <c r="G31" s="33">
        <v>4052.5904122800257</v>
      </c>
      <c r="H31">
        <v>0.12587412587412589</v>
      </c>
      <c r="I31">
        <f t="shared" si="1"/>
        <v>6.3374198784722235</v>
      </c>
      <c r="J31" s="30"/>
      <c r="K31" s="31"/>
    </row>
    <row r="32" spans="1:11" x14ac:dyDescent="0.25">
      <c r="A32" s="32">
        <f t="shared" si="0"/>
        <v>35345</v>
      </c>
      <c r="B32" s="31">
        <v>1996</v>
      </c>
      <c r="C32" s="31">
        <v>281</v>
      </c>
      <c r="D32" s="31">
        <v>1</v>
      </c>
      <c r="E32" s="33">
        <v>2236.7773745625</v>
      </c>
      <c r="F32" s="31">
        <v>0.20899999999999999</v>
      </c>
      <c r="G32" s="33">
        <v>1769.2909032789375</v>
      </c>
      <c r="H32">
        <v>9.4405594405594401E-2</v>
      </c>
      <c r="I32">
        <f t="shared" si="1"/>
        <v>3.6890772569444445</v>
      </c>
      <c r="J32" s="30"/>
      <c r="K32" s="31"/>
    </row>
    <row r="33" spans="1:11" x14ac:dyDescent="0.25">
      <c r="A33" s="32">
        <f t="shared" si="0"/>
        <v>35345</v>
      </c>
      <c r="B33" s="31">
        <v>1996</v>
      </c>
      <c r="C33" s="31">
        <v>281</v>
      </c>
      <c r="D33" s="31">
        <v>2</v>
      </c>
      <c r="E33" s="33">
        <v>2669.39109745</v>
      </c>
      <c r="F33" s="31">
        <v>0.20899999999999999</v>
      </c>
      <c r="G33" s="33">
        <v>2111.4883580829501</v>
      </c>
      <c r="H33">
        <v>0.10489510489510488</v>
      </c>
      <c r="I33">
        <f t="shared" si="1"/>
        <v>3.9623214583333337</v>
      </c>
      <c r="J33" s="30"/>
      <c r="K33" s="31"/>
    </row>
    <row r="34" spans="1:11" x14ac:dyDescent="0.25">
      <c r="A34" s="32">
        <f t="shared" si="0"/>
        <v>35345</v>
      </c>
      <c r="B34" s="31">
        <v>1996</v>
      </c>
      <c r="C34" s="31">
        <v>281</v>
      </c>
      <c r="D34" s="31">
        <v>3</v>
      </c>
      <c r="E34" s="33">
        <v>1965.3023411175002</v>
      </c>
      <c r="F34" s="31">
        <v>0.20899999999999999</v>
      </c>
      <c r="G34" s="33">
        <v>1554.5541518239427</v>
      </c>
      <c r="H34">
        <v>7.6923076923076913E-2</v>
      </c>
      <c r="I34">
        <f t="shared" si="1"/>
        <v>3.9780060937500012</v>
      </c>
      <c r="J34" s="30"/>
      <c r="K34" s="31"/>
    </row>
    <row r="35" spans="1:11" x14ac:dyDescent="0.25">
      <c r="A35" s="32">
        <f t="shared" si="0"/>
        <v>35345</v>
      </c>
      <c r="B35" s="31">
        <v>1996</v>
      </c>
      <c r="C35" s="31">
        <v>281</v>
      </c>
      <c r="D35" s="31">
        <v>4</v>
      </c>
      <c r="E35" s="33">
        <v>2871.29640114625</v>
      </c>
      <c r="F35" s="31">
        <v>0.217</v>
      </c>
      <c r="G35" s="33">
        <v>2248.2250820975137</v>
      </c>
      <c r="H35">
        <v>0.10489510489510488</v>
      </c>
      <c r="I35">
        <f t="shared" si="1"/>
        <v>4.2189152745535718</v>
      </c>
      <c r="J35" s="30"/>
      <c r="K35" s="31"/>
    </row>
    <row r="36" spans="1:11" x14ac:dyDescent="0.25">
      <c r="A36" s="32">
        <f t="shared" si="0"/>
        <v>35345</v>
      </c>
      <c r="B36" s="31">
        <v>1996</v>
      </c>
      <c r="C36" s="31">
        <v>281</v>
      </c>
      <c r="D36" s="31">
        <v>5</v>
      </c>
      <c r="E36" s="33">
        <v>2830.9266802162501</v>
      </c>
      <c r="F36" s="31">
        <v>0.217</v>
      </c>
      <c r="G36" s="33">
        <v>2216.6155906093236</v>
      </c>
      <c r="H36">
        <v>0.10489510489510488</v>
      </c>
      <c r="I36">
        <f t="shared" si="1"/>
        <v>4.1595983638392857</v>
      </c>
      <c r="J36" s="30"/>
      <c r="K36" s="31"/>
    </row>
    <row r="37" spans="1:11" x14ac:dyDescent="0.25">
      <c r="A37" s="32">
        <f t="shared" si="0"/>
        <v>35345</v>
      </c>
      <c r="B37" s="31">
        <v>1996</v>
      </c>
      <c r="C37" s="31">
        <v>281</v>
      </c>
      <c r="D37" s="31">
        <v>6</v>
      </c>
      <c r="E37" s="33">
        <v>2536.8665266816665</v>
      </c>
      <c r="F37" s="31">
        <v>0.217</v>
      </c>
      <c r="G37" s="33">
        <v>1986.3664903917449</v>
      </c>
      <c r="H37">
        <v>0.10489510489510488</v>
      </c>
      <c r="I37">
        <f t="shared" si="1"/>
        <v>3.7275235446428572</v>
      </c>
      <c r="J37" s="30"/>
      <c r="K37" s="31"/>
    </row>
    <row r="38" spans="1:11" x14ac:dyDescent="0.25">
      <c r="A38" s="32">
        <f t="shared" si="0"/>
        <v>35345</v>
      </c>
      <c r="B38" s="31">
        <v>1996</v>
      </c>
      <c r="C38" s="31">
        <v>281</v>
      </c>
      <c r="D38" s="31">
        <v>7</v>
      </c>
      <c r="E38" s="33">
        <v>2579.806604375</v>
      </c>
      <c r="F38" s="31">
        <v>0.19700000000000001</v>
      </c>
      <c r="G38" s="33">
        <v>2071.5847033131249</v>
      </c>
      <c r="H38">
        <v>0.10489510489510488</v>
      </c>
      <c r="I38">
        <f t="shared" si="1"/>
        <v>3.8874401041666666</v>
      </c>
      <c r="J38" s="30"/>
      <c r="K38" s="31"/>
    </row>
    <row r="39" spans="1:11" x14ac:dyDescent="0.25">
      <c r="A39" s="32">
        <f t="shared" si="0"/>
        <v>35345</v>
      </c>
      <c r="B39" s="31">
        <v>1996</v>
      </c>
      <c r="C39" s="31">
        <v>281</v>
      </c>
      <c r="D39" s="31">
        <v>8</v>
      </c>
      <c r="E39" s="33">
        <v>2155.9245346100001</v>
      </c>
      <c r="F39" s="31">
        <v>0.19700000000000001</v>
      </c>
      <c r="G39" s="33">
        <v>1731.2074012918301</v>
      </c>
      <c r="H39">
        <v>7.3426573426573438E-2</v>
      </c>
      <c r="I39">
        <f t="shared" si="1"/>
        <v>4.6410054166666663</v>
      </c>
      <c r="J39" s="30"/>
      <c r="K39" s="31"/>
    </row>
    <row r="40" spans="1:11" x14ac:dyDescent="0.25">
      <c r="A40" s="32">
        <f t="shared" si="0"/>
        <v>35345</v>
      </c>
      <c r="B40" s="31">
        <v>1996</v>
      </c>
      <c r="C40" s="31">
        <v>281</v>
      </c>
      <c r="D40" s="31">
        <v>9</v>
      </c>
      <c r="E40" s="33">
        <v>3007.5442092850003</v>
      </c>
      <c r="F40" s="31">
        <v>0.19700000000000001</v>
      </c>
      <c r="G40" s="33">
        <v>2415.0580000558552</v>
      </c>
      <c r="H40">
        <v>0.10489510489510488</v>
      </c>
      <c r="I40">
        <f t="shared" si="1"/>
        <v>4.5319862172619052</v>
      </c>
      <c r="J40" s="30"/>
      <c r="K40" s="31"/>
    </row>
    <row r="41" spans="1:11" x14ac:dyDescent="0.25">
      <c r="A41" s="32">
        <f t="shared" si="0"/>
        <v>35345</v>
      </c>
      <c r="B41" s="31">
        <v>1996</v>
      </c>
      <c r="C41" s="31">
        <v>281</v>
      </c>
      <c r="D41" s="31">
        <v>10</v>
      </c>
      <c r="E41" s="33">
        <v>3863.7565067062501</v>
      </c>
      <c r="F41" s="31">
        <v>0.19700000000000001</v>
      </c>
      <c r="G41" s="33">
        <v>3102.5964748851188</v>
      </c>
      <c r="H41">
        <v>0.12587412587412589</v>
      </c>
      <c r="I41">
        <f t="shared" si="1"/>
        <v>4.8518242838541665</v>
      </c>
      <c r="J41" s="30"/>
      <c r="K41" s="2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A53A3-D91A-4156-8E8C-19FA92CDE757}">
  <dimension ref="A1:CI301"/>
  <sheetViews>
    <sheetView topLeftCell="BB1" workbookViewId="0">
      <selection activeCell="BH74" sqref="BH74"/>
    </sheetView>
  </sheetViews>
  <sheetFormatPr defaultRowHeight="15.75" x14ac:dyDescent="0.25"/>
  <sheetData>
    <row r="1" spans="1:51" x14ac:dyDescent="0.25">
      <c r="B1" t="s">
        <v>13</v>
      </c>
      <c r="D1" t="s">
        <v>29</v>
      </c>
      <c r="R1" t="s">
        <v>27</v>
      </c>
      <c r="Z1" t="s">
        <v>50</v>
      </c>
      <c r="AC1" t="s">
        <v>49</v>
      </c>
      <c r="AE1" t="s">
        <v>43</v>
      </c>
      <c r="AG1" t="s">
        <v>46</v>
      </c>
      <c r="AL1" t="s">
        <v>47</v>
      </c>
      <c r="AN1" t="s">
        <v>44</v>
      </c>
      <c r="AP1" t="s">
        <v>42</v>
      </c>
      <c r="AR1" t="s">
        <v>45</v>
      </c>
      <c r="AW1" t="s">
        <v>13</v>
      </c>
      <c r="AY1" t="s">
        <v>29</v>
      </c>
    </row>
    <row r="2" spans="1:51" x14ac:dyDescent="0.25">
      <c r="B2" t="s">
        <v>26</v>
      </c>
      <c r="R2" t="s">
        <v>2</v>
      </c>
      <c r="S2" t="s">
        <v>12</v>
      </c>
      <c r="T2" t="s">
        <v>3</v>
      </c>
      <c r="U2" t="s">
        <v>12</v>
      </c>
      <c r="V2" t="s">
        <v>4</v>
      </c>
      <c r="W2" t="s">
        <v>12</v>
      </c>
      <c r="X2" t="s">
        <v>5</v>
      </c>
      <c r="Y2" t="s">
        <v>12</v>
      </c>
      <c r="Z2" t="s">
        <v>48</v>
      </c>
      <c r="AB2" t="s">
        <v>26</v>
      </c>
      <c r="AW2" t="s">
        <v>26</v>
      </c>
    </row>
    <row r="3" spans="1:51" x14ac:dyDescent="0.25">
      <c r="B3" t="s">
        <v>8</v>
      </c>
      <c r="S3" t="s">
        <v>28</v>
      </c>
      <c r="U3" t="s">
        <v>28</v>
      </c>
      <c r="W3" t="s">
        <v>28</v>
      </c>
      <c r="Y3" t="s">
        <v>28</v>
      </c>
      <c r="AB3" t="s">
        <v>8</v>
      </c>
      <c r="AV3" t="s">
        <v>8</v>
      </c>
      <c r="AW3" t="s">
        <v>8</v>
      </c>
    </row>
    <row r="4" spans="1:51" x14ac:dyDescent="0.25">
      <c r="A4" t="s">
        <v>7</v>
      </c>
      <c r="B4" t="s">
        <v>1</v>
      </c>
      <c r="C4" t="s">
        <v>9</v>
      </c>
      <c r="R4" t="s">
        <v>7</v>
      </c>
      <c r="S4" t="s">
        <v>8</v>
      </c>
      <c r="AA4" t="s">
        <v>7</v>
      </c>
      <c r="AB4" t="s">
        <v>1</v>
      </c>
      <c r="AK4" t="s">
        <v>7</v>
      </c>
      <c r="AL4" t="s">
        <v>9</v>
      </c>
      <c r="AT4" t="s">
        <v>7</v>
      </c>
      <c r="AU4" t="s">
        <v>9</v>
      </c>
      <c r="AV4" t="s">
        <v>1</v>
      </c>
      <c r="AW4" t="s">
        <v>1</v>
      </c>
      <c r="AX4" t="s">
        <v>9</v>
      </c>
    </row>
    <row r="5" spans="1:51" x14ac:dyDescent="0.25">
      <c r="A5">
        <v>53</v>
      </c>
      <c r="B5">
        <v>2</v>
      </c>
      <c r="C5">
        <v>0</v>
      </c>
      <c r="D5">
        <v>2</v>
      </c>
      <c r="E5">
        <v>0</v>
      </c>
      <c r="R5">
        <f>A5-53</f>
        <v>0</v>
      </c>
      <c r="S5">
        <f>B5</f>
        <v>2</v>
      </c>
      <c r="T5">
        <f>A10-142</f>
        <v>0</v>
      </c>
      <c r="U5">
        <f>F10</f>
        <v>2</v>
      </c>
      <c r="V5">
        <f>A15-190</f>
        <v>0</v>
      </c>
      <c r="W5">
        <f>J15</f>
        <v>2</v>
      </c>
      <c r="X5">
        <f>A20-228</f>
        <v>0</v>
      </c>
      <c r="Y5">
        <f>N20</f>
        <v>2</v>
      </c>
      <c r="Z5">
        <v>0</v>
      </c>
      <c r="AA5">
        <f t="shared" ref="AA5:AA36" si="0">Z5+53</f>
        <v>53</v>
      </c>
      <c r="AB5">
        <v>2</v>
      </c>
      <c r="AJ5">
        <v>0</v>
      </c>
      <c r="AK5">
        <f t="shared" ref="AK5:AK36" si="1">AJ5+53</f>
        <v>53</v>
      </c>
      <c r="AL5">
        <v>0</v>
      </c>
      <c r="AT5">
        <v>53</v>
      </c>
      <c r="AU5">
        <v>0</v>
      </c>
      <c r="AV5">
        <v>2</v>
      </c>
    </row>
    <row r="6" spans="1:51" x14ac:dyDescent="0.25">
      <c r="A6">
        <v>108</v>
      </c>
      <c r="B6" t="e">
        <f>'1996 alfalfa growth'!#REF!</f>
        <v>#REF!</v>
      </c>
      <c r="C6" t="e">
        <f>'1996 alfalfa growth'!#REF!</f>
        <v>#REF!</v>
      </c>
      <c r="D6" t="e">
        <f>'1996 alfalfa growth'!#REF!</f>
        <v>#REF!</v>
      </c>
      <c r="E6" t="e">
        <f>'1996 alfalfa growth'!#REF!</f>
        <v>#REF!</v>
      </c>
      <c r="R6">
        <f>A6-53</f>
        <v>55</v>
      </c>
      <c r="S6" t="e">
        <f>B6</f>
        <v>#REF!</v>
      </c>
      <c r="T6">
        <f>A11-142</f>
        <v>16</v>
      </c>
      <c r="U6" t="e">
        <f>F11</f>
        <v>#REF!</v>
      </c>
      <c r="V6">
        <f>A16-190</f>
        <v>17</v>
      </c>
      <c r="W6" t="e">
        <f>J16</f>
        <v>#REF!</v>
      </c>
      <c r="X6">
        <f>A21-228</f>
        <v>19</v>
      </c>
      <c r="Y6" t="e">
        <f>N21</f>
        <v>#REF!</v>
      </c>
      <c r="Z6">
        <v>1</v>
      </c>
      <c r="AA6">
        <f t="shared" si="0"/>
        <v>54</v>
      </c>
      <c r="AB6">
        <v>1.972898</v>
      </c>
      <c r="AJ6">
        <v>1</v>
      </c>
      <c r="AK6">
        <f t="shared" si="1"/>
        <v>54</v>
      </c>
      <c r="AL6">
        <v>1.285823E-2</v>
      </c>
      <c r="AT6">
        <v>54</v>
      </c>
      <c r="AU6">
        <v>1.285823E-2</v>
      </c>
      <c r="AV6">
        <v>1.972898</v>
      </c>
    </row>
    <row r="7" spans="1:51" x14ac:dyDescent="0.25">
      <c r="A7">
        <v>122</v>
      </c>
      <c r="B7" t="e">
        <f>'1996 alfalfa growth'!#REF!</f>
        <v>#REF!</v>
      </c>
      <c r="C7" t="e">
        <f>'1996 alfalfa growth'!#REF!</f>
        <v>#REF!</v>
      </c>
      <c r="D7" t="e">
        <f>'1996 alfalfa growth'!#REF!</f>
        <v>#REF!</v>
      </c>
      <c r="E7" t="e">
        <f>'1996 alfalfa growth'!#REF!</f>
        <v>#REF!</v>
      </c>
      <c r="R7">
        <f>A7-53</f>
        <v>69</v>
      </c>
      <c r="S7" t="e">
        <f>B7</f>
        <v>#REF!</v>
      </c>
      <c r="T7">
        <f>A12-142</f>
        <v>30</v>
      </c>
      <c r="U7" t="e">
        <f>F12</f>
        <v>#REF!</v>
      </c>
      <c r="V7">
        <f>A17-190</f>
        <v>28</v>
      </c>
      <c r="W7" t="e">
        <f>J17</f>
        <v>#REF!</v>
      </c>
      <c r="X7">
        <f>A22-228</f>
        <v>34</v>
      </c>
      <c r="Y7" t="e">
        <f>N22</f>
        <v>#REF!</v>
      </c>
      <c r="Z7">
        <v>2</v>
      </c>
      <c r="AA7">
        <f t="shared" si="0"/>
        <v>55</v>
      </c>
      <c r="AB7">
        <v>1.949959</v>
      </c>
      <c r="AJ7">
        <v>2</v>
      </c>
      <c r="AK7">
        <f t="shared" si="1"/>
        <v>55</v>
      </c>
      <c r="AL7">
        <v>2.4322839999999998E-2</v>
      </c>
      <c r="AT7">
        <v>55</v>
      </c>
      <c r="AU7">
        <v>2.4322839999999998E-2</v>
      </c>
      <c r="AV7">
        <v>1.949959</v>
      </c>
    </row>
    <row r="8" spans="1:51" x14ac:dyDescent="0.25">
      <c r="A8">
        <v>141</v>
      </c>
      <c r="B8" t="e">
        <f>'1996 alfalfa growth'!#REF!</f>
        <v>#REF!</v>
      </c>
      <c r="C8" t="e">
        <f>'1996 alfalfa growth'!#REF!</f>
        <v>#REF!</v>
      </c>
      <c r="D8" t="e">
        <f>'1996 alfalfa growth'!#REF!</f>
        <v>#REF!</v>
      </c>
      <c r="E8" t="e">
        <f>'1996 alfalfa growth'!#REF!</f>
        <v>#REF!</v>
      </c>
      <c r="R8">
        <f>A8-53</f>
        <v>88</v>
      </c>
      <c r="S8" t="e">
        <f>B8</f>
        <v>#REF!</v>
      </c>
      <c r="T8">
        <f>A13-142</f>
        <v>41</v>
      </c>
      <c r="U8" t="e">
        <f>F13</f>
        <v>#REF!</v>
      </c>
      <c r="V8">
        <f>A18-190</f>
        <v>37</v>
      </c>
      <c r="W8" t="e">
        <f>J18</f>
        <v>#REF!</v>
      </c>
      <c r="X8">
        <f>A23-228</f>
        <v>53</v>
      </c>
      <c r="Y8" t="e">
        <f>N23</f>
        <v>#REF!</v>
      </c>
      <c r="Z8">
        <v>3</v>
      </c>
      <c r="AA8">
        <f t="shared" si="0"/>
        <v>56</v>
      </c>
      <c r="AB8">
        <v>1.931716</v>
      </c>
      <c r="AJ8">
        <v>3</v>
      </c>
      <c r="AK8">
        <f t="shared" si="1"/>
        <v>56</v>
      </c>
      <c r="AL8">
        <v>3.4598980000000001E-2</v>
      </c>
      <c r="AT8">
        <v>56</v>
      </c>
      <c r="AU8">
        <v>3.4598980000000001E-2</v>
      </c>
      <c r="AV8">
        <v>1.931716</v>
      </c>
    </row>
    <row r="9" spans="1:51" x14ac:dyDescent="0.25">
      <c r="A9">
        <v>142</v>
      </c>
      <c r="B9" t="e">
        <f>'1996 alfalfa growth'!#REF!</f>
        <v>#REF!</v>
      </c>
      <c r="C9" t="e">
        <f>'1996 alfalfa growth'!#REF!</f>
        <v>#REF!</v>
      </c>
      <c r="D9" t="e">
        <f>'1996 alfalfa growth'!#REF!</f>
        <v>#REF!</v>
      </c>
      <c r="E9" t="e">
        <f>'1996 alfalfa growth'!#REF!</f>
        <v>#REF!</v>
      </c>
      <c r="R9">
        <f>A5-53</f>
        <v>0</v>
      </c>
      <c r="S9">
        <f>D5</f>
        <v>2</v>
      </c>
      <c r="T9">
        <v>0</v>
      </c>
      <c r="U9">
        <f>H10</f>
        <v>2</v>
      </c>
      <c r="V9">
        <v>0</v>
      </c>
      <c r="W9">
        <f>L15</f>
        <v>2</v>
      </c>
      <c r="X9">
        <v>0</v>
      </c>
      <c r="Y9">
        <f>P20</f>
        <v>2</v>
      </c>
      <c r="Z9">
        <v>4</v>
      </c>
      <c r="AA9">
        <f t="shared" si="0"/>
        <v>57</v>
      </c>
      <c r="AB9">
        <v>1.918703</v>
      </c>
      <c r="AJ9">
        <v>4</v>
      </c>
      <c r="AK9">
        <f t="shared" si="1"/>
        <v>57</v>
      </c>
      <c r="AL9">
        <v>4.3892960000000002E-2</v>
      </c>
      <c r="AT9">
        <v>57</v>
      </c>
      <c r="AU9">
        <v>4.3892960000000002E-2</v>
      </c>
      <c r="AV9">
        <v>1.918703</v>
      </c>
    </row>
    <row r="10" spans="1:51" x14ac:dyDescent="0.25">
      <c r="A10">
        <v>142</v>
      </c>
      <c r="F10">
        <v>2</v>
      </c>
      <c r="G10">
        <v>0</v>
      </c>
      <c r="H10">
        <v>2</v>
      </c>
      <c r="I10">
        <v>0</v>
      </c>
      <c r="R10">
        <f>A6-53</f>
        <v>55</v>
      </c>
      <c r="S10" t="e">
        <f>D6</f>
        <v>#REF!</v>
      </c>
      <c r="T10">
        <v>16</v>
      </c>
      <c r="U10" t="e">
        <f>H11</f>
        <v>#REF!</v>
      </c>
      <c r="V10">
        <v>17</v>
      </c>
      <c r="W10" t="e">
        <f>L16</f>
        <v>#REF!</v>
      </c>
      <c r="X10">
        <v>19</v>
      </c>
      <c r="Y10" t="e">
        <f>P21</f>
        <v>#REF!</v>
      </c>
      <c r="Z10">
        <v>5</v>
      </c>
      <c r="AA10">
        <f t="shared" si="0"/>
        <v>58</v>
      </c>
      <c r="AB10">
        <v>1.9114530000000001</v>
      </c>
      <c r="AJ10">
        <v>5</v>
      </c>
      <c r="AK10">
        <f t="shared" si="1"/>
        <v>58</v>
      </c>
      <c r="AL10">
        <v>5.2411079999999999E-2</v>
      </c>
      <c r="AT10">
        <v>58</v>
      </c>
      <c r="AU10">
        <v>5.2411079999999999E-2</v>
      </c>
      <c r="AV10">
        <v>1.9114530000000001</v>
      </c>
    </row>
    <row r="11" spans="1:51" x14ac:dyDescent="0.25">
      <c r="A11">
        <v>158</v>
      </c>
      <c r="F11" t="e">
        <f>'1996 alfalfa growth'!#REF!</f>
        <v>#REF!</v>
      </c>
      <c r="G11" t="e">
        <f>'1996 alfalfa growth'!#REF!</f>
        <v>#REF!</v>
      </c>
      <c r="H11" t="e">
        <f>'1996 alfalfa growth'!#REF!</f>
        <v>#REF!</v>
      </c>
      <c r="I11" t="e">
        <f>'1996 alfalfa growth'!#REF!</f>
        <v>#REF!</v>
      </c>
      <c r="R11">
        <f>A7-53</f>
        <v>69</v>
      </c>
      <c r="S11" t="e">
        <f>D7</f>
        <v>#REF!</v>
      </c>
      <c r="T11">
        <v>30</v>
      </c>
      <c r="U11" t="e">
        <f>H12</f>
        <v>#REF!</v>
      </c>
      <c r="V11">
        <v>28</v>
      </c>
      <c r="W11" t="e">
        <f>L17</f>
        <v>#REF!</v>
      </c>
      <c r="X11">
        <v>34</v>
      </c>
      <c r="Y11" t="e">
        <f>P22</f>
        <v>#REF!</v>
      </c>
      <c r="Z11">
        <v>6</v>
      </c>
      <c r="AA11">
        <f t="shared" si="0"/>
        <v>59</v>
      </c>
      <c r="AB11">
        <v>1.910498</v>
      </c>
      <c r="AJ11">
        <v>6</v>
      </c>
      <c r="AK11">
        <f t="shared" si="1"/>
        <v>59</v>
      </c>
      <c r="AL11">
        <v>6.0359650000000001E-2</v>
      </c>
      <c r="AT11">
        <v>59</v>
      </c>
      <c r="AU11">
        <v>6.0359650000000001E-2</v>
      </c>
      <c r="AV11">
        <v>1.910498</v>
      </c>
    </row>
    <row r="12" spans="1:51" x14ac:dyDescent="0.25">
      <c r="A12">
        <v>172</v>
      </c>
      <c r="F12" t="e">
        <f>'1996 alfalfa growth'!#REF!</f>
        <v>#REF!</v>
      </c>
      <c r="G12" t="e">
        <f>'1996 alfalfa growth'!#REF!</f>
        <v>#REF!</v>
      </c>
      <c r="H12" t="e">
        <f>'1996 alfalfa growth'!#REF!</f>
        <v>#REF!</v>
      </c>
      <c r="I12" t="e">
        <f>'1996 alfalfa growth'!#REF!</f>
        <v>#REF!</v>
      </c>
      <c r="R12">
        <f>A8-53</f>
        <v>88</v>
      </c>
      <c r="S12" t="e">
        <f>D8</f>
        <v>#REF!</v>
      </c>
      <c r="T12">
        <v>41</v>
      </c>
      <c r="U12" t="e">
        <f>H13</f>
        <v>#REF!</v>
      </c>
      <c r="V12">
        <v>37</v>
      </c>
      <c r="W12" t="e">
        <f>L18</f>
        <v>#REF!</v>
      </c>
      <c r="X12">
        <v>53</v>
      </c>
      <c r="Y12" t="e">
        <f>P23</f>
        <v>#REF!</v>
      </c>
      <c r="Z12">
        <v>7</v>
      </c>
      <c r="AA12">
        <f t="shared" si="0"/>
        <v>60</v>
      </c>
      <c r="AB12">
        <v>1.916371</v>
      </c>
      <c r="AJ12">
        <v>7</v>
      </c>
      <c r="AK12">
        <f t="shared" si="1"/>
        <v>60</v>
      </c>
      <c r="AL12">
        <v>6.7944980000000002E-2</v>
      </c>
      <c r="AT12">
        <v>60</v>
      </c>
      <c r="AU12">
        <v>6.7944980000000002E-2</v>
      </c>
      <c r="AV12">
        <v>1.916371</v>
      </c>
    </row>
    <row r="13" spans="1:51" x14ac:dyDescent="0.25">
      <c r="A13">
        <v>183</v>
      </c>
      <c r="F13" t="e">
        <f>'1996 alfalfa growth'!#REF!</f>
        <v>#REF!</v>
      </c>
      <c r="G13" t="e">
        <f>'1996 alfalfa growth'!#REF!</f>
        <v>#REF!</v>
      </c>
      <c r="H13" t="e">
        <f>'1996 alfalfa growth'!#REF!</f>
        <v>#REF!</v>
      </c>
      <c r="I13" t="e">
        <f>'1996 alfalfa growth'!#REF!</f>
        <v>#REF!</v>
      </c>
      <c r="Z13">
        <v>8</v>
      </c>
      <c r="AA13">
        <f t="shared" si="0"/>
        <v>61</v>
      </c>
      <c r="AB13">
        <v>1.9296059999999999</v>
      </c>
      <c r="AJ13">
        <v>8</v>
      </c>
      <c r="AK13">
        <f t="shared" si="1"/>
        <v>61</v>
      </c>
      <c r="AL13">
        <v>7.5373369999999995E-2</v>
      </c>
      <c r="AT13">
        <v>61</v>
      </c>
      <c r="AU13">
        <v>7.5373369999999995E-2</v>
      </c>
      <c r="AV13">
        <v>1.9296059999999999</v>
      </c>
    </row>
    <row r="14" spans="1:51" x14ac:dyDescent="0.25">
      <c r="A14">
        <v>190</v>
      </c>
      <c r="F14" t="e">
        <f>'1996 alfalfa growth'!#REF!</f>
        <v>#REF!</v>
      </c>
      <c r="G14" t="e">
        <f>'1996 alfalfa growth'!#REF!</f>
        <v>#REF!</v>
      </c>
      <c r="H14" t="e">
        <f>'1996 alfalfa growth'!#REF!</f>
        <v>#REF!</v>
      </c>
      <c r="I14" t="e">
        <f>'1996 alfalfa growth'!#REF!</f>
        <v>#REF!</v>
      </c>
      <c r="R14" t="s">
        <v>10</v>
      </c>
      <c r="Z14">
        <v>9</v>
      </c>
      <c r="AA14">
        <f t="shared" si="0"/>
        <v>62</v>
      </c>
      <c r="AB14">
        <v>1.9507350000000001</v>
      </c>
      <c r="AJ14">
        <v>9</v>
      </c>
      <c r="AK14">
        <f t="shared" si="1"/>
        <v>62</v>
      </c>
      <c r="AL14">
        <v>8.2851140000000004E-2</v>
      </c>
      <c r="AT14">
        <v>62</v>
      </c>
      <c r="AU14">
        <v>8.2851140000000004E-2</v>
      </c>
      <c r="AV14">
        <v>1.9507350000000001</v>
      </c>
    </row>
    <row r="15" spans="1:51" x14ac:dyDescent="0.25">
      <c r="A15">
        <v>190</v>
      </c>
      <c r="J15">
        <v>2</v>
      </c>
      <c r="K15">
        <v>0</v>
      </c>
      <c r="L15">
        <v>2</v>
      </c>
      <c r="M15">
        <v>0</v>
      </c>
      <c r="R15" t="s">
        <v>2</v>
      </c>
      <c r="S15" t="s">
        <v>12</v>
      </c>
      <c r="T15" t="s">
        <v>3</v>
      </c>
      <c r="U15" t="s">
        <v>12</v>
      </c>
      <c r="V15" t="s">
        <v>4</v>
      </c>
      <c r="W15" t="s">
        <v>12</v>
      </c>
      <c r="X15" t="s">
        <v>5</v>
      </c>
      <c r="Y15" t="s">
        <v>12</v>
      </c>
      <c r="Z15">
        <v>10</v>
      </c>
      <c r="AA15">
        <f t="shared" si="0"/>
        <v>63</v>
      </c>
      <c r="AB15">
        <v>1.9802919999999999</v>
      </c>
      <c r="AJ15">
        <v>10</v>
      </c>
      <c r="AK15">
        <f t="shared" si="1"/>
        <v>63</v>
      </c>
      <c r="AL15">
        <v>9.0584590000000006E-2</v>
      </c>
      <c r="AT15">
        <v>63</v>
      </c>
      <c r="AU15">
        <v>9.0584590000000006E-2</v>
      </c>
      <c r="AV15">
        <v>1.9802919999999999</v>
      </c>
    </row>
    <row r="16" spans="1:51" x14ac:dyDescent="0.25">
      <c r="A16">
        <v>207</v>
      </c>
      <c r="J16" t="e">
        <f>'1996 alfalfa growth'!#REF!</f>
        <v>#REF!</v>
      </c>
      <c r="K16" t="e">
        <f>'1996 alfalfa growth'!#REF!</f>
        <v>#REF!</v>
      </c>
      <c r="L16" t="e">
        <f>'1996 alfalfa growth'!#REF!</f>
        <v>#REF!</v>
      </c>
      <c r="M16" t="e">
        <f>'1996 alfalfa growth'!#REF!</f>
        <v>#REF!</v>
      </c>
      <c r="S16" t="s">
        <v>28</v>
      </c>
      <c r="U16" t="s">
        <v>28</v>
      </c>
      <c r="W16" t="s">
        <v>28</v>
      </c>
      <c r="Y16" t="s">
        <v>28</v>
      </c>
      <c r="Z16">
        <v>11</v>
      </c>
      <c r="AA16">
        <f t="shared" si="0"/>
        <v>64</v>
      </c>
      <c r="AB16">
        <v>2.0188090000000001</v>
      </c>
      <c r="AJ16">
        <v>11</v>
      </c>
      <c r="AK16">
        <f t="shared" si="1"/>
        <v>64</v>
      </c>
      <c r="AL16">
        <v>9.8780019999999996E-2</v>
      </c>
      <c r="AT16">
        <v>64</v>
      </c>
      <c r="AU16">
        <v>9.8780019999999996E-2</v>
      </c>
      <c r="AV16">
        <v>2.0188090000000001</v>
      </c>
    </row>
    <row r="17" spans="1:48" x14ac:dyDescent="0.25">
      <c r="A17">
        <v>218</v>
      </c>
      <c r="J17" t="e">
        <f>'1996 alfalfa growth'!#REF!</f>
        <v>#REF!</v>
      </c>
      <c r="K17" t="e">
        <f>'1996 alfalfa growth'!#REF!</f>
        <v>#REF!</v>
      </c>
      <c r="L17" t="e">
        <f>'1996 alfalfa growth'!#REF!</f>
        <v>#REF!</v>
      </c>
      <c r="M17" t="e">
        <f>'1996 alfalfa growth'!#REF!</f>
        <v>#REF!</v>
      </c>
      <c r="R17" t="s">
        <v>7</v>
      </c>
      <c r="S17" t="s">
        <v>9</v>
      </c>
      <c r="Z17">
        <v>12</v>
      </c>
      <c r="AA17">
        <f t="shared" si="0"/>
        <v>65</v>
      </c>
      <c r="AB17">
        <v>2.0668199999999999</v>
      </c>
      <c r="AJ17">
        <v>12</v>
      </c>
      <c r="AK17">
        <f t="shared" si="1"/>
        <v>65</v>
      </c>
      <c r="AL17">
        <v>0.1076438</v>
      </c>
      <c r="AT17">
        <v>65</v>
      </c>
      <c r="AU17">
        <v>0.1076438</v>
      </c>
      <c r="AV17">
        <v>2.0668199999999999</v>
      </c>
    </row>
    <row r="18" spans="1:48" x14ac:dyDescent="0.25">
      <c r="A18">
        <v>227</v>
      </c>
      <c r="J18" t="e">
        <f>'1996 alfalfa growth'!#REF!</f>
        <v>#REF!</v>
      </c>
      <c r="K18" t="e">
        <f>'1996 alfalfa growth'!#REF!</f>
        <v>#REF!</v>
      </c>
      <c r="L18" t="e">
        <f>'1996 alfalfa growth'!#REF!</f>
        <v>#REF!</v>
      </c>
      <c r="M18" t="e">
        <f>'1996 alfalfa growth'!#REF!</f>
        <v>#REF!</v>
      </c>
      <c r="R18">
        <v>0</v>
      </c>
      <c r="S18">
        <f>C5</f>
        <v>0</v>
      </c>
      <c r="T18">
        <v>0</v>
      </c>
      <c r="U18">
        <f>G10</f>
        <v>0</v>
      </c>
      <c r="V18">
        <v>0</v>
      </c>
      <c r="W18">
        <f>K15</f>
        <v>0</v>
      </c>
      <c r="X18">
        <v>0</v>
      </c>
      <c r="Y18">
        <f>O20</f>
        <v>0</v>
      </c>
      <c r="Z18">
        <v>13</v>
      </c>
      <c r="AA18">
        <f t="shared" si="0"/>
        <v>66</v>
      </c>
      <c r="AB18">
        <v>2.1248559999999999</v>
      </c>
      <c r="AJ18">
        <v>13</v>
      </c>
      <c r="AK18">
        <f t="shared" si="1"/>
        <v>66</v>
      </c>
      <c r="AL18">
        <v>0.1173821</v>
      </c>
      <c r="AT18">
        <v>66</v>
      </c>
      <c r="AU18">
        <v>0.1173821</v>
      </c>
      <c r="AV18">
        <v>2.1248559999999999</v>
      </c>
    </row>
    <row r="19" spans="1:48" x14ac:dyDescent="0.25">
      <c r="A19">
        <v>228</v>
      </c>
      <c r="J19" t="e">
        <f>'1996 alfalfa growth'!#REF!</f>
        <v>#REF!</v>
      </c>
      <c r="K19" t="e">
        <f>'1996 alfalfa growth'!#REF!</f>
        <v>#REF!</v>
      </c>
      <c r="L19" t="e">
        <f>'1996 alfalfa growth'!#REF!</f>
        <v>#REF!</v>
      </c>
      <c r="M19" t="e">
        <f>'1996 alfalfa growth'!#REF!</f>
        <v>#REF!</v>
      </c>
      <c r="R19">
        <v>55</v>
      </c>
      <c r="S19" t="e">
        <f>C6</f>
        <v>#REF!</v>
      </c>
      <c r="T19">
        <v>16</v>
      </c>
      <c r="U19" t="e">
        <f>G11</f>
        <v>#REF!</v>
      </c>
      <c r="V19">
        <v>17</v>
      </c>
      <c r="W19" t="e">
        <f>K16</f>
        <v>#REF!</v>
      </c>
      <c r="X19">
        <v>19</v>
      </c>
      <c r="Y19" t="e">
        <f>O21</f>
        <v>#REF!</v>
      </c>
      <c r="Z19">
        <v>14</v>
      </c>
      <c r="AA19">
        <f t="shared" si="0"/>
        <v>67</v>
      </c>
      <c r="AB19">
        <v>2.1934529999999999</v>
      </c>
      <c r="AJ19">
        <v>14</v>
      </c>
      <c r="AK19">
        <f t="shared" si="1"/>
        <v>67</v>
      </c>
      <c r="AL19">
        <v>0.12820129999999999</v>
      </c>
      <c r="AT19">
        <v>67</v>
      </c>
      <c r="AU19">
        <v>0.12820129999999999</v>
      </c>
      <c r="AV19">
        <v>2.1934529999999999</v>
      </c>
    </row>
    <row r="20" spans="1:48" x14ac:dyDescent="0.25">
      <c r="A20">
        <v>228</v>
      </c>
      <c r="N20">
        <v>2</v>
      </c>
      <c r="O20">
        <v>0</v>
      </c>
      <c r="P20">
        <v>2</v>
      </c>
      <c r="Q20">
        <v>0</v>
      </c>
      <c r="R20">
        <v>69</v>
      </c>
      <c r="S20" t="e">
        <f>C7</f>
        <v>#REF!</v>
      </c>
      <c r="T20">
        <v>30</v>
      </c>
      <c r="U20" t="e">
        <f>G12</f>
        <v>#REF!</v>
      </c>
      <c r="V20">
        <v>28</v>
      </c>
      <c r="W20" t="e">
        <f>K17</f>
        <v>#REF!</v>
      </c>
      <c r="X20">
        <v>34</v>
      </c>
      <c r="Y20" t="e">
        <f>O22</f>
        <v>#REF!</v>
      </c>
      <c r="Z20">
        <v>15</v>
      </c>
      <c r="AA20">
        <f t="shared" si="0"/>
        <v>68</v>
      </c>
      <c r="AB20">
        <v>2.2731409999999999</v>
      </c>
      <c r="AJ20">
        <v>15</v>
      </c>
      <c r="AK20">
        <f t="shared" si="1"/>
        <v>68</v>
      </c>
      <c r="AL20">
        <v>0.14030780000000001</v>
      </c>
      <c r="AT20">
        <v>68</v>
      </c>
      <c r="AU20">
        <v>0.14030780000000001</v>
      </c>
      <c r="AV20">
        <v>2.2731409999999999</v>
      </c>
    </row>
    <row r="21" spans="1:48" x14ac:dyDescent="0.25">
      <c r="A21">
        <v>247</v>
      </c>
      <c r="N21" t="e">
        <f>'1996 alfalfa growth'!#REF!</f>
        <v>#REF!</v>
      </c>
      <c r="O21" t="e">
        <f>'1996 alfalfa growth'!#REF!</f>
        <v>#REF!</v>
      </c>
      <c r="P21" t="e">
        <f>'1996 alfalfa growth'!#REF!</f>
        <v>#REF!</v>
      </c>
      <c r="Q21" t="e">
        <f>'1996 alfalfa growth'!#REF!</f>
        <v>#REF!</v>
      </c>
      <c r="R21">
        <v>88</v>
      </c>
      <c r="S21" t="e">
        <f>C8</f>
        <v>#REF!</v>
      </c>
      <c r="T21">
        <v>41</v>
      </c>
      <c r="U21" t="e">
        <f>G13</f>
        <v>#REF!</v>
      </c>
      <c r="V21">
        <v>37</v>
      </c>
      <c r="W21" t="e">
        <f>K18</f>
        <v>#REF!</v>
      </c>
      <c r="X21">
        <v>53</v>
      </c>
      <c r="Y21" t="e">
        <f>O23</f>
        <v>#REF!</v>
      </c>
      <c r="Z21">
        <v>16</v>
      </c>
      <c r="AA21">
        <f t="shared" si="0"/>
        <v>69</v>
      </c>
      <c r="AB21">
        <v>2.364455</v>
      </c>
      <c r="AJ21">
        <v>16</v>
      </c>
      <c r="AK21">
        <f t="shared" si="1"/>
        <v>69</v>
      </c>
      <c r="AL21">
        <v>0.15390780000000001</v>
      </c>
      <c r="AT21">
        <v>69</v>
      </c>
      <c r="AU21">
        <v>0.15390780000000001</v>
      </c>
      <c r="AV21">
        <v>2.364455</v>
      </c>
    </row>
    <row r="22" spans="1:48" x14ac:dyDescent="0.25">
      <c r="A22">
        <v>262</v>
      </c>
      <c r="N22" t="e">
        <f>'1996 alfalfa growth'!#REF!</f>
        <v>#REF!</v>
      </c>
      <c r="O22" t="e">
        <f>'1996 alfalfa growth'!#REF!</f>
        <v>#REF!</v>
      </c>
      <c r="P22" t="e">
        <f>'1996 alfalfa growth'!#REF!</f>
        <v>#REF!</v>
      </c>
      <c r="Q22" t="e">
        <f>'1996 alfalfa growth'!#REF!</f>
        <v>#REF!</v>
      </c>
      <c r="R22">
        <v>0</v>
      </c>
      <c r="S22">
        <f>E5</f>
        <v>0</v>
      </c>
      <c r="T22">
        <v>0</v>
      </c>
      <c r="U22">
        <f>I10</f>
        <v>0</v>
      </c>
      <c r="V22">
        <v>0</v>
      </c>
      <c r="W22">
        <f>M15</f>
        <v>0</v>
      </c>
      <c r="X22">
        <v>0</v>
      </c>
      <c r="Y22">
        <f>Q20</f>
        <v>0</v>
      </c>
      <c r="Z22">
        <v>17</v>
      </c>
      <c r="AA22">
        <f t="shared" si="0"/>
        <v>70</v>
      </c>
      <c r="AB22">
        <v>2.467927</v>
      </c>
      <c r="AJ22">
        <v>17</v>
      </c>
      <c r="AK22">
        <f t="shared" si="1"/>
        <v>70</v>
      </c>
      <c r="AL22">
        <v>0.16920760000000001</v>
      </c>
      <c r="AT22">
        <v>70</v>
      </c>
      <c r="AU22">
        <v>0.16920760000000001</v>
      </c>
      <c r="AV22">
        <v>2.467927</v>
      </c>
    </row>
    <row r="23" spans="1:48" x14ac:dyDescent="0.25">
      <c r="A23">
        <v>281</v>
      </c>
      <c r="N23" t="e">
        <f>'1996 alfalfa growth'!#REF!</f>
        <v>#REF!</v>
      </c>
      <c r="O23" t="e">
        <f>'1996 alfalfa growth'!#REF!</f>
        <v>#REF!</v>
      </c>
      <c r="P23" t="e">
        <f>'1996 alfalfa growth'!#REF!</f>
        <v>#REF!</v>
      </c>
      <c r="Q23" t="e">
        <f>'1996 alfalfa growth'!#REF!</f>
        <v>#REF!</v>
      </c>
      <c r="R23">
        <v>55</v>
      </c>
      <c r="S23" t="e">
        <f>E6</f>
        <v>#REF!</v>
      </c>
      <c r="T23">
        <v>16</v>
      </c>
      <c r="U23" t="e">
        <f>I11</f>
        <v>#REF!</v>
      </c>
      <c r="V23">
        <v>17</v>
      </c>
      <c r="W23" t="e">
        <f>M16</f>
        <v>#REF!</v>
      </c>
      <c r="X23">
        <v>19</v>
      </c>
      <c r="Y23" t="e">
        <f>Q21</f>
        <v>#REF!</v>
      </c>
      <c r="Z23">
        <v>18</v>
      </c>
      <c r="AA23">
        <f t="shared" si="0"/>
        <v>71</v>
      </c>
      <c r="AB23">
        <v>2.5840900000000002</v>
      </c>
      <c r="AJ23">
        <v>18</v>
      </c>
      <c r="AK23">
        <f t="shared" si="1"/>
        <v>71</v>
      </c>
      <c r="AL23">
        <v>0.18641350000000001</v>
      </c>
      <c r="AT23">
        <v>71</v>
      </c>
      <c r="AU23">
        <v>0.18641350000000001</v>
      </c>
      <c r="AV23">
        <v>2.5840900000000002</v>
      </c>
    </row>
    <row r="24" spans="1:48" x14ac:dyDescent="0.25">
      <c r="A24">
        <v>281</v>
      </c>
      <c r="N24" t="e">
        <f>'1996 alfalfa growth'!#REF!</f>
        <v>#REF!</v>
      </c>
      <c r="O24" t="e">
        <f>'1996 alfalfa growth'!#REF!</f>
        <v>#REF!</v>
      </c>
      <c r="P24" t="e">
        <f>'1996 alfalfa growth'!#REF!</f>
        <v>#REF!</v>
      </c>
      <c r="Q24" t="e">
        <f>'1996 alfalfa growth'!#REF!</f>
        <v>#REF!</v>
      </c>
      <c r="R24">
        <v>69</v>
      </c>
      <c r="S24" t="e">
        <f>E7</f>
        <v>#REF!</v>
      </c>
      <c r="T24">
        <v>30</v>
      </c>
      <c r="U24" t="e">
        <f>I12</f>
        <v>#REF!</v>
      </c>
      <c r="V24">
        <v>28</v>
      </c>
      <c r="W24" t="e">
        <f>M17</f>
        <v>#REF!</v>
      </c>
      <c r="X24">
        <v>34</v>
      </c>
      <c r="Y24" t="e">
        <f>Q22</f>
        <v>#REF!</v>
      </c>
      <c r="Z24">
        <v>19</v>
      </c>
      <c r="AA24">
        <f t="shared" si="0"/>
        <v>72</v>
      </c>
      <c r="AB24">
        <v>2.7134779999999998</v>
      </c>
      <c r="AJ24">
        <v>19</v>
      </c>
      <c r="AK24">
        <f t="shared" si="1"/>
        <v>72</v>
      </c>
      <c r="AL24">
        <v>0.2057319</v>
      </c>
      <c r="AT24">
        <v>72</v>
      </c>
      <c r="AU24">
        <v>0.2057319</v>
      </c>
      <c r="AV24">
        <v>2.7134779999999998</v>
      </c>
    </row>
    <row r="25" spans="1:48" x14ac:dyDescent="0.25">
      <c r="R25">
        <v>88</v>
      </c>
      <c r="S25" t="e">
        <f>E8</f>
        <v>#REF!</v>
      </c>
      <c r="T25">
        <v>41</v>
      </c>
      <c r="U25" t="e">
        <f>I13</f>
        <v>#REF!</v>
      </c>
      <c r="V25">
        <v>37</v>
      </c>
      <c r="W25" t="e">
        <f>M18</f>
        <v>#REF!</v>
      </c>
      <c r="X25">
        <v>53</v>
      </c>
      <c r="Y25" t="e">
        <f>Q23</f>
        <v>#REF!</v>
      </c>
      <c r="Z25">
        <v>20</v>
      </c>
      <c r="AA25">
        <f t="shared" si="0"/>
        <v>73</v>
      </c>
      <c r="AB25">
        <v>2.8566220000000002</v>
      </c>
      <c r="AJ25">
        <v>20</v>
      </c>
      <c r="AK25">
        <f t="shared" si="1"/>
        <v>73</v>
      </c>
      <c r="AL25">
        <v>0.22736899999999999</v>
      </c>
      <c r="AT25">
        <v>73</v>
      </c>
      <c r="AU25">
        <v>0.22736899999999999</v>
      </c>
      <c r="AV25">
        <v>2.8566220000000002</v>
      </c>
    </row>
    <row r="26" spans="1:48" x14ac:dyDescent="0.25">
      <c r="Z26">
        <v>21</v>
      </c>
      <c r="AA26">
        <f t="shared" si="0"/>
        <v>74</v>
      </c>
      <c r="AB26">
        <v>3.0140570000000002</v>
      </c>
      <c r="AJ26">
        <v>21</v>
      </c>
      <c r="AK26">
        <f t="shared" si="1"/>
        <v>74</v>
      </c>
      <c r="AL26">
        <v>0.25153120000000001</v>
      </c>
      <c r="AT26">
        <v>74</v>
      </c>
      <c r="AU26">
        <v>0.25153120000000001</v>
      </c>
      <c r="AV26">
        <v>3.0140570000000002</v>
      </c>
    </row>
    <row r="27" spans="1:48" x14ac:dyDescent="0.25">
      <c r="Z27">
        <v>22</v>
      </c>
      <c r="AA27">
        <f t="shared" si="0"/>
        <v>75</v>
      </c>
      <c r="AB27">
        <v>3.186315</v>
      </c>
      <c r="AJ27">
        <v>22</v>
      </c>
      <c r="AK27">
        <f t="shared" si="1"/>
        <v>75</v>
      </c>
      <c r="AL27">
        <v>0.27842479999999997</v>
      </c>
      <c r="AT27">
        <v>75</v>
      </c>
      <c r="AU27">
        <v>0.27842479999999997</v>
      </c>
      <c r="AV27">
        <v>3.186315</v>
      </c>
    </row>
    <row r="28" spans="1:48" x14ac:dyDescent="0.25">
      <c r="Z28">
        <v>23</v>
      </c>
      <c r="AA28">
        <f t="shared" si="0"/>
        <v>76</v>
      </c>
      <c r="AB28">
        <v>3.3739300000000001</v>
      </c>
      <c r="AJ28">
        <v>23</v>
      </c>
      <c r="AK28">
        <f t="shared" si="1"/>
        <v>76</v>
      </c>
      <c r="AL28">
        <v>0.30825609999999998</v>
      </c>
      <c r="AT28">
        <v>76</v>
      </c>
      <c r="AU28">
        <v>0.30825609999999998</v>
      </c>
      <c r="AV28">
        <v>3.3739300000000001</v>
      </c>
    </row>
    <row r="29" spans="1:48" x14ac:dyDescent="0.25">
      <c r="Z29">
        <v>24</v>
      </c>
      <c r="AA29">
        <f t="shared" si="0"/>
        <v>77</v>
      </c>
      <c r="AB29">
        <v>3.5774330000000001</v>
      </c>
      <c r="AJ29">
        <v>24</v>
      </c>
      <c r="AK29">
        <f t="shared" si="1"/>
        <v>77</v>
      </c>
      <c r="AL29">
        <v>0.34123130000000002</v>
      </c>
      <c r="AT29">
        <v>77</v>
      </c>
      <c r="AU29">
        <v>0.34123130000000002</v>
      </c>
      <c r="AV29">
        <v>3.5774330000000001</v>
      </c>
    </row>
    <row r="30" spans="1:48" x14ac:dyDescent="0.25">
      <c r="Z30">
        <v>25</v>
      </c>
      <c r="AA30">
        <f t="shared" si="0"/>
        <v>78</v>
      </c>
      <c r="AB30">
        <v>3.797358</v>
      </c>
      <c r="AJ30">
        <v>25</v>
      </c>
      <c r="AK30">
        <f t="shared" si="1"/>
        <v>78</v>
      </c>
      <c r="AL30">
        <v>0.37755680000000003</v>
      </c>
      <c r="AT30">
        <v>78</v>
      </c>
      <c r="AU30">
        <v>0.37755680000000003</v>
      </c>
      <c r="AV30">
        <v>3.797358</v>
      </c>
    </row>
    <row r="31" spans="1:48" x14ac:dyDescent="0.25">
      <c r="Z31">
        <v>26</v>
      </c>
      <c r="AA31">
        <f t="shared" si="0"/>
        <v>79</v>
      </c>
      <c r="AB31">
        <v>4.0342380000000002</v>
      </c>
      <c r="AJ31">
        <v>26</v>
      </c>
      <c r="AK31">
        <f t="shared" si="1"/>
        <v>79</v>
      </c>
      <c r="AL31">
        <v>0.4174389</v>
      </c>
      <c r="AT31">
        <v>79</v>
      </c>
      <c r="AU31">
        <v>0.4174389</v>
      </c>
      <c r="AV31">
        <v>4.0342380000000002</v>
      </c>
    </row>
    <row r="32" spans="1:48" x14ac:dyDescent="0.25">
      <c r="Z32">
        <v>27</v>
      </c>
      <c r="AA32">
        <f t="shared" si="0"/>
        <v>80</v>
      </c>
      <c r="AB32">
        <v>4.2886069999999998</v>
      </c>
      <c r="AJ32">
        <v>27</v>
      </c>
      <c r="AK32">
        <f t="shared" si="1"/>
        <v>80</v>
      </c>
      <c r="AL32">
        <v>0.46108389999999999</v>
      </c>
      <c r="AT32">
        <v>80</v>
      </c>
      <c r="AU32">
        <v>0.46108389999999999</v>
      </c>
      <c r="AV32">
        <v>4.2886069999999998</v>
      </c>
    </row>
    <row r="33" spans="26:48" x14ac:dyDescent="0.25">
      <c r="Z33">
        <v>28</v>
      </c>
      <c r="AA33">
        <f t="shared" si="0"/>
        <v>81</v>
      </c>
      <c r="AB33">
        <v>4.5609960000000003</v>
      </c>
      <c r="AJ33">
        <v>28</v>
      </c>
      <c r="AK33">
        <f t="shared" si="1"/>
        <v>81</v>
      </c>
      <c r="AL33">
        <v>0.50869810000000004</v>
      </c>
      <c r="AT33">
        <v>81</v>
      </c>
      <c r="AU33">
        <v>0.50869810000000004</v>
      </c>
      <c r="AV33">
        <v>4.5609960000000003</v>
      </c>
    </row>
    <row r="34" spans="26:48" x14ac:dyDescent="0.25">
      <c r="Z34">
        <v>29</v>
      </c>
      <c r="AA34">
        <f t="shared" si="0"/>
        <v>82</v>
      </c>
      <c r="AB34">
        <v>4.8519399999999999</v>
      </c>
      <c r="AJ34">
        <v>29</v>
      </c>
      <c r="AK34">
        <f t="shared" si="1"/>
        <v>82</v>
      </c>
      <c r="AL34">
        <v>0.56048790000000004</v>
      </c>
      <c r="AT34">
        <v>82</v>
      </c>
      <c r="AU34">
        <v>0.56048790000000004</v>
      </c>
      <c r="AV34">
        <v>4.8519399999999999</v>
      </c>
    </row>
    <row r="35" spans="26:48" x14ac:dyDescent="0.25">
      <c r="Z35">
        <v>30</v>
      </c>
      <c r="AA35">
        <f t="shared" si="0"/>
        <v>83</v>
      </c>
      <c r="AB35">
        <v>5.1619700000000002</v>
      </c>
      <c r="AJ35">
        <v>30</v>
      </c>
      <c r="AK35">
        <f t="shared" si="1"/>
        <v>83</v>
      </c>
      <c r="AL35">
        <v>0.61665939999999997</v>
      </c>
      <c r="AT35">
        <v>83</v>
      </c>
      <c r="AU35">
        <v>0.61665939999999997</v>
      </c>
      <c r="AV35">
        <v>5.1619700000000002</v>
      </c>
    </row>
    <row r="36" spans="26:48" x14ac:dyDescent="0.25">
      <c r="Z36">
        <v>31</v>
      </c>
      <c r="AA36">
        <f t="shared" si="0"/>
        <v>84</v>
      </c>
      <c r="AB36">
        <v>5.4916210000000003</v>
      </c>
      <c r="AJ36">
        <v>31</v>
      </c>
      <c r="AK36">
        <f t="shared" si="1"/>
        <v>84</v>
      </c>
      <c r="AL36">
        <v>0.67741910000000005</v>
      </c>
      <c r="AT36">
        <v>84</v>
      </c>
      <c r="AU36">
        <v>0.67741910000000005</v>
      </c>
      <c r="AV36">
        <v>5.4916210000000003</v>
      </c>
    </row>
    <row r="37" spans="26:48" x14ac:dyDescent="0.25">
      <c r="Z37">
        <v>32</v>
      </c>
      <c r="AA37">
        <f t="shared" ref="AA37:AA68" si="2">Z37+53</f>
        <v>85</v>
      </c>
      <c r="AB37">
        <v>5.8414239999999999</v>
      </c>
      <c r="AJ37">
        <v>32</v>
      </c>
      <c r="AK37">
        <f t="shared" ref="AK37:AK68" si="3">AJ37+53</f>
        <v>85</v>
      </c>
      <c r="AL37">
        <v>0.74297329999999995</v>
      </c>
      <c r="AT37">
        <v>85</v>
      </c>
      <c r="AU37">
        <v>0.74297329999999995</v>
      </c>
      <c r="AV37">
        <v>5.8414239999999999</v>
      </c>
    </row>
    <row r="38" spans="26:48" x14ac:dyDescent="0.25">
      <c r="Z38">
        <v>33</v>
      </c>
      <c r="AA38">
        <f t="shared" si="2"/>
        <v>86</v>
      </c>
      <c r="AB38">
        <v>6.211913</v>
      </c>
      <c r="AJ38">
        <v>33</v>
      </c>
      <c r="AK38">
        <f t="shared" si="3"/>
        <v>86</v>
      </c>
      <c r="AL38">
        <v>0.81352809999999998</v>
      </c>
      <c r="AT38">
        <v>86</v>
      </c>
      <c r="AU38">
        <v>0.81352809999999998</v>
      </c>
      <c r="AV38">
        <v>6.211913</v>
      </c>
    </row>
    <row r="39" spans="26:48" x14ac:dyDescent="0.25">
      <c r="Z39">
        <v>34</v>
      </c>
      <c r="AA39">
        <f t="shared" si="2"/>
        <v>87</v>
      </c>
      <c r="AB39">
        <v>6.6036210000000004</v>
      </c>
      <c r="AJ39">
        <v>34</v>
      </c>
      <c r="AK39">
        <f t="shared" si="3"/>
        <v>87</v>
      </c>
      <c r="AL39">
        <v>0.88929000000000002</v>
      </c>
      <c r="AT39">
        <v>87</v>
      </c>
      <c r="AU39">
        <v>0.88929000000000002</v>
      </c>
      <c r="AV39">
        <v>6.6036210000000004</v>
      </c>
    </row>
    <row r="40" spans="26:48" x14ac:dyDescent="0.25">
      <c r="Z40">
        <v>35</v>
      </c>
      <c r="AA40">
        <f t="shared" si="2"/>
        <v>88</v>
      </c>
      <c r="AB40">
        <v>7.0170810000000001</v>
      </c>
      <c r="AJ40">
        <v>35</v>
      </c>
      <c r="AK40">
        <f t="shared" si="3"/>
        <v>88</v>
      </c>
      <c r="AL40">
        <v>0.97046540000000003</v>
      </c>
      <c r="AT40">
        <v>88</v>
      </c>
      <c r="AU40">
        <v>0.97046540000000003</v>
      </c>
      <c r="AV40">
        <v>7.0170810000000001</v>
      </c>
    </row>
    <row r="41" spans="26:48" x14ac:dyDescent="0.25">
      <c r="Z41">
        <v>36</v>
      </c>
      <c r="AA41">
        <f t="shared" si="2"/>
        <v>89</v>
      </c>
      <c r="AB41">
        <v>7.452826</v>
      </c>
      <c r="AJ41">
        <v>36</v>
      </c>
      <c r="AK41">
        <f t="shared" si="3"/>
        <v>89</v>
      </c>
      <c r="AL41">
        <v>1.0572600000000001</v>
      </c>
      <c r="AT41">
        <v>89</v>
      </c>
      <c r="AU41">
        <v>1.0572600000000001</v>
      </c>
      <c r="AV41">
        <v>7.452826</v>
      </c>
    </row>
    <row r="42" spans="26:48" x14ac:dyDescent="0.25">
      <c r="Z42">
        <v>37</v>
      </c>
      <c r="AA42">
        <f t="shared" si="2"/>
        <v>90</v>
      </c>
      <c r="AB42">
        <v>7.9113879999999996</v>
      </c>
      <c r="AJ42">
        <v>37</v>
      </c>
      <c r="AK42">
        <f t="shared" si="3"/>
        <v>90</v>
      </c>
      <c r="AL42">
        <v>1.1498809999999999</v>
      </c>
      <c r="AT42">
        <v>90</v>
      </c>
      <c r="AU42">
        <v>1.1498809999999999</v>
      </c>
      <c r="AV42">
        <v>7.9113879999999996</v>
      </c>
    </row>
    <row r="43" spans="26:48" x14ac:dyDescent="0.25">
      <c r="Z43">
        <v>38</v>
      </c>
      <c r="AA43">
        <f t="shared" si="2"/>
        <v>91</v>
      </c>
      <c r="AB43">
        <v>8.3933020000000003</v>
      </c>
      <c r="AJ43">
        <v>38</v>
      </c>
      <c r="AK43">
        <f t="shared" si="3"/>
        <v>91</v>
      </c>
      <c r="AL43">
        <v>1.248534</v>
      </c>
      <c r="AT43">
        <v>91</v>
      </c>
      <c r="AU43">
        <v>1.248534</v>
      </c>
      <c r="AV43">
        <v>8.3933020000000003</v>
      </c>
    </row>
    <row r="44" spans="26:48" x14ac:dyDescent="0.25">
      <c r="Z44">
        <v>39</v>
      </c>
      <c r="AA44">
        <f t="shared" si="2"/>
        <v>92</v>
      </c>
      <c r="AB44">
        <v>8.8990989999999996</v>
      </c>
      <c r="AJ44">
        <v>39</v>
      </c>
      <c r="AK44">
        <f t="shared" si="3"/>
        <v>92</v>
      </c>
      <c r="AL44">
        <v>1.353426</v>
      </c>
      <c r="AT44">
        <v>92</v>
      </c>
      <c r="AU44">
        <v>1.353426</v>
      </c>
      <c r="AV44">
        <v>8.8990989999999996</v>
      </c>
    </row>
    <row r="45" spans="26:48" x14ac:dyDescent="0.25">
      <c r="Z45">
        <v>40</v>
      </c>
      <c r="AA45">
        <f t="shared" si="2"/>
        <v>93</v>
      </c>
      <c r="AB45">
        <v>9.4293130000000005</v>
      </c>
      <c r="AJ45">
        <v>40</v>
      </c>
      <c r="AK45">
        <f t="shared" si="3"/>
        <v>93</v>
      </c>
      <c r="AL45">
        <v>1.464763</v>
      </c>
      <c r="AT45">
        <v>93</v>
      </c>
      <c r="AU45">
        <v>1.464763</v>
      </c>
      <c r="AV45">
        <v>9.4293130000000005</v>
      </c>
    </row>
    <row r="46" spans="26:48" x14ac:dyDescent="0.25">
      <c r="Z46">
        <v>41</v>
      </c>
      <c r="AA46">
        <f t="shared" si="2"/>
        <v>94</v>
      </c>
      <c r="AB46">
        <v>9.984477</v>
      </c>
      <c r="AJ46">
        <v>41</v>
      </c>
      <c r="AK46">
        <f t="shared" si="3"/>
        <v>94</v>
      </c>
      <c r="AL46">
        <v>1.582751</v>
      </c>
      <c r="AT46">
        <v>94</v>
      </c>
      <c r="AU46">
        <v>1.582751</v>
      </c>
      <c r="AV46">
        <v>9.984477</v>
      </c>
    </row>
    <row r="47" spans="26:48" x14ac:dyDescent="0.25">
      <c r="Z47">
        <v>42</v>
      </c>
      <c r="AA47">
        <f t="shared" si="2"/>
        <v>95</v>
      </c>
      <c r="AB47">
        <v>10.56512</v>
      </c>
      <c r="AJ47">
        <v>42</v>
      </c>
      <c r="AK47">
        <f t="shared" si="3"/>
        <v>95</v>
      </c>
      <c r="AL47">
        <v>1.7075959999999999</v>
      </c>
      <c r="AT47">
        <v>95</v>
      </c>
      <c r="AU47">
        <v>1.7075959999999999</v>
      </c>
      <c r="AV47">
        <v>10.56512</v>
      </c>
    </row>
    <row r="48" spans="26:48" x14ac:dyDescent="0.25">
      <c r="Z48">
        <v>43</v>
      </c>
      <c r="AA48">
        <f t="shared" si="2"/>
        <v>96</v>
      </c>
      <c r="AB48">
        <v>11.17179</v>
      </c>
      <c r="AJ48">
        <v>43</v>
      </c>
      <c r="AK48">
        <f t="shared" si="3"/>
        <v>96</v>
      </c>
      <c r="AL48">
        <v>1.8395049999999999</v>
      </c>
      <c r="AT48">
        <v>96</v>
      </c>
      <c r="AU48">
        <v>1.8395049999999999</v>
      </c>
      <c r="AV48">
        <v>11.17179</v>
      </c>
    </row>
    <row r="49" spans="1:48" x14ac:dyDescent="0.25">
      <c r="Z49">
        <v>44</v>
      </c>
      <c r="AA49">
        <f t="shared" si="2"/>
        <v>97</v>
      </c>
      <c r="AB49">
        <v>11.805</v>
      </c>
      <c r="AJ49">
        <v>44</v>
      </c>
      <c r="AK49">
        <f t="shared" si="3"/>
        <v>97</v>
      </c>
      <c r="AL49">
        <v>1.978685</v>
      </c>
      <c r="AT49">
        <v>97</v>
      </c>
      <c r="AU49">
        <v>1.978685</v>
      </c>
      <c r="AV49">
        <v>11.805</v>
      </c>
    </row>
    <row r="50" spans="1:48" x14ac:dyDescent="0.25">
      <c r="H50" t="s">
        <v>0</v>
      </c>
      <c r="Z50">
        <v>45</v>
      </c>
      <c r="AA50">
        <f t="shared" si="2"/>
        <v>98</v>
      </c>
      <c r="AB50">
        <v>12.46529</v>
      </c>
      <c r="AJ50">
        <v>45</v>
      </c>
      <c r="AK50">
        <f t="shared" si="3"/>
        <v>98</v>
      </c>
      <c r="AL50">
        <v>2.1253410000000001</v>
      </c>
      <c r="AT50">
        <v>98</v>
      </c>
      <c r="AU50">
        <v>2.1253410000000001</v>
      </c>
      <c r="AV50">
        <v>12.46529</v>
      </c>
    </row>
    <row r="51" spans="1:48" x14ac:dyDescent="0.25">
      <c r="Z51">
        <v>46</v>
      </c>
      <c r="AA51">
        <f t="shared" si="2"/>
        <v>99</v>
      </c>
      <c r="AB51">
        <v>13.1532</v>
      </c>
      <c r="AJ51">
        <v>46</v>
      </c>
      <c r="AK51">
        <f t="shared" si="3"/>
        <v>99</v>
      </c>
      <c r="AL51">
        <v>2.2796789999999998</v>
      </c>
      <c r="AT51">
        <v>99</v>
      </c>
      <c r="AU51">
        <v>2.2796789999999998</v>
      </c>
      <c r="AV51">
        <v>13.1532</v>
      </c>
    </row>
    <row r="52" spans="1:48" x14ac:dyDescent="0.25">
      <c r="Z52">
        <v>47</v>
      </c>
      <c r="AA52">
        <f t="shared" si="2"/>
        <v>100</v>
      </c>
      <c r="AB52">
        <v>13.869249999999999</v>
      </c>
      <c r="AJ52">
        <v>47</v>
      </c>
      <c r="AK52">
        <f t="shared" si="3"/>
        <v>100</v>
      </c>
      <c r="AL52">
        <v>2.441907</v>
      </c>
      <c r="AT52">
        <v>100</v>
      </c>
      <c r="AU52">
        <v>2.441907</v>
      </c>
      <c r="AV52">
        <v>13.869249999999999</v>
      </c>
    </row>
    <row r="53" spans="1:48" x14ac:dyDescent="0.25">
      <c r="Z53">
        <v>48</v>
      </c>
      <c r="AA53">
        <f t="shared" si="2"/>
        <v>101</v>
      </c>
      <c r="AB53">
        <v>14.613989999999999</v>
      </c>
      <c r="AJ53">
        <v>48</v>
      </c>
      <c r="AK53">
        <f t="shared" si="3"/>
        <v>101</v>
      </c>
      <c r="AL53">
        <v>2.6122299999999998</v>
      </c>
      <c r="AT53">
        <v>101</v>
      </c>
      <c r="AU53">
        <v>2.6122299999999998</v>
      </c>
      <c r="AV53">
        <v>14.613989999999999</v>
      </c>
    </row>
    <row r="54" spans="1:48" x14ac:dyDescent="0.25">
      <c r="Z54">
        <v>49</v>
      </c>
      <c r="AA54">
        <f t="shared" si="2"/>
        <v>102</v>
      </c>
      <c r="AB54">
        <v>15.387930000000001</v>
      </c>
      <c r="AJ54">
        <v>49</v>
      </c>
      <c r="AK54">
        <f t="shared" si="3"/>
        <v>102</v>
      </c>
      <c r="AL54">
        <v>2.7908539999999999</v>
      </c>
      <c r="AT54">
        <v>102</v>
      </c>
      <c r="AU54">
        <v>2.7908539999999999</v>
      </c>
      <c r="AV54">
        <v>15.387930000000001</v>
      </c>
    </row>
    <row r="55" spans="1:48" x14ac:dyDescent="0.25">
      <c r="Z55">
        <v>50</v>
      </c>
      <c r="AA55">
        <f t="shared" si="2"/>
        <v>103</v>
      </c>
      <c r="AB55">
        <v>16.19163</v>
      </c>
      <c r="AJ55">
        <v>50</v>
      </c>
      <c r="AK55">
        <f t="shared" si="3"/>
        <v>103</v>
      </c>
      <c r="AL55">
        <v>2.9779870000000002</v>
      </c>
      <c r="AT55">
        <v>103</v>
      </c>
      <c r="AU55">
        <v>2.9779870000000002</v>
      </c>
      <c r="AV55">
        <v>16.19163</v>
      </c>
    </row>
    <row r="56" spans="1:48" x14ac:dyDescent="0.25">
      <c r="Z56">
        <v>51</v>
      </c>
      <c r="AA56">
        <f t="shared" si="2"/>
        <v>104</v>
      </c>
      <c r="AB56">
        <v>17.025600000000001</v>
      </c>
      <c r="AJ56">
        <v>51</v>
      </c>
      <c r="AK56">
        <f t="shared" si="3"/>
        <v>104</v>
      </c>
      <c r="AL56">
        <v>3.173397</v>
      </c>
      <c r="AT56">
        <v>104</v>
      </c>
      <c r="AU56">
        <v>3.173397</v>
      </c>
      <c r="AV56">
        <v>17.025600000000001</v>
      </c>
    </row>
    <row r="57" spans="1:48" x14ac:dyDescent="0.25">
      <c r="Z57">
        <v>52</v>
      </c>
      <c r="AA57">
        <f t="shared" si="2"/>
        <v>105</v>
      </c>
      <c r="AB57">
        <v>17.89039</v>
      </c>
      <c r="AJ57">
        <v>52</v>
      </c>
      <c r="AK57">
        <f t="shared" si="3"/>
        <v>105</v>
      </c>
      <c r="AL57">
        <v>3.375035</v>
      </c>
      <c r="AT57">
        <v>105</v>
      </c>
      <c r="AU57">
        <v>3.375035</v>
      </c>
      <c r="AV57">
        <v>17.89039</v>
      </c>
    </row>
    <row r="58" spans="1:48" x14ac:dyDescent="0.25">
      <c r="Z58">
        <v>53</v>
      </c>
      <c r="AA58">
        <f t="shared" si="2"/>
        <v>106</v>
      </c>
      <c r="AB58">
        <v>18.786519999999999</v>
      </c>
      <c r="AJ58">
        <v>53</v>
      </c>
      <c r="AK58">
        <f t="shared" si="3"/>
        <v>106</v>
      </c>
      <c r="AL58">
        <v>3.580435</v>
      </c>
      <c r="AT58">
        <v>106</v>
      </c>
      <c r="AU58">
        <v>3.580435</v>
      </c>
      <c r="AV58">
        <v>18.786519999999999</v>
      </c>
    </row>
    <row r="59" spans="1:48" x14ac:dyDescent="0.25">
      <c r="Z59">
        <v>54</v>
      </c>
      <c r="AA59">
        <f t="shared" si="2"/>
        <v>107</v>
      </c>
      <c r="AB59">
        <v>19.71453</v>
      </c>
      <c r="AJ59">
        <v>54</v>
      </c>
      <c r="AK59">
        <f t="shared" si="3"/>
        <v>107</v>
      </c>
      <c r="AL59">
        <v>3.787121</v>
      </c>
      <c r="AT59">
        <v>107</v>
      </c>
      <c r="AU59">
        <v>3.787121</v>
      </c>
      <c r="AV59">
        <v>19.71453</v>
      </c>
    </row>
    <row r="60" spans="1:48" x14ac:dyDescent="0.25">
      <c r="Z60">
        <v>55</v>
      </c>
      <c r="AA60">
        <f t="shared" si="2"/>
        <v>108</v>
      </c>
      <c r="AB60">
        <v>20.674959999999999</v>
      </c>
      <c r="AJ60">
        <v>55</v>
      </c>
      <c r="AK60">
        <f t="shared" si="3"/>
        <v>108</v>
      </c>
      <c r="AL60">
        <v>3.9926179999999998</v>
      </c>
      <c r="AT60">
        <v>108</v>
      </c>
      <c r="AU60">
        <v>3.9926179999999998</v>
      </c>
      <c r="AV60">
        <v>20.674959999999999</v>
      </c>
    </row>
    <row r="61" spans="1:48" x14ac:dyDescent="0.25">
      <c r="B61">
        <v>108</v>
      </c>
      <c r="C61">
        <v>122</v>
      </c>
      <c r="D61">
        <v>141</v>
      </c>
      <c r="E61">
        <v>142</v>
      </c>
      <c r="F61">
        <v>158</v>
      </c>
      <c r="G61">
        <v>172</v>
      </c>
      <c r="H61">
        <v>183</v>
      </c>
      <c r="I61">
        <v>190</v>
      </c>
      <c r="J61">
        <v>207</v>
      </c>
      <c r="Z61">
        <v>56</v>
      </c>
      <c r="AA61">
        <f t="shared" si="2"/>
        <v>109</v>
      </c>
      <c r="AB61">
        <v>21.650680000000001</v>
      </c>
      <c r="AJ61">
        <v>56</v>
      </c>
      <c r="AK61">
        <f t="shared" si="3"/>
        <v>109</v>
      </c>
      <c r="AL61">
        <v>4.1944480000000004</v>
      </c>
      <c r="AT61">
        <v>109</v>
      </c>
      <c r="AU61">
        <v>4.1944480000000004</v>
      </c>
      <c r="AV61">
        <v>21.650680000000001</v>
      </c>
    </row>
    <row r="62" spans="1:48" x14ac:dyDescent="0.25">
      <c r="A62" t="s">
        <v>38</v>
      </c>
      <c r="B62">
        <v>3.94</v>
      </c>
      <c r="C62">
        <v>6.4</v>
      </c>
      <c r="D62">
        <v>6.44</v>
      </c>
      <c r="F62">
        <v>3.1</v>
      </c>
      <c r="G62">
        <v>4.09</v>
      </c>
      <c r="H62">
        <v>4.97</v>
      </c>
      <c r="J62">
        <v>3.59</v>
      </c>
      <c r="Z62">
        <v>57</v>
      </c>
      <c r="AA62">
        <f t="shared" si="2"/>
        <v>110</v>
      </c>
      <c r="AB62">
        <v>22.660540000000001</v>
      </c>
      <c r="AJ62">
        <v>57</v>
      </c>
      <c r="AK62">
        <f t="shared" si="3"/>
        <v>110</v>
      </c>
      <c r="AL62">
        <v>4.3905320000000003</v>
      </c>
      <c r="AT62">
        <v>110</v>
      </c>
      <c r="AU62">
        <v>4.3905320000000003</v>
      </c>
      <c r="AV62">
        <v>22.660540000000001</v>
      </c>
    </row>
    <row r="63" spans="1:48" x14ac:dyDescent="0.25">
      <c r="A63" t="s">
        <v>22</v>
      </c>
      <c r="B63">
        <v>4.04</v>
      </c>
      <c r="C63">
        <v>6.06</v>
      </c>
      <c r="D63">
        <v>7.44</v>
      </c>
      <c r="F63">
        <v>3.23</v>
      </c>
      <c r="G63">
        <v>4.0999999999999996</v>
      </c>
      <c r="H63">
        <v>4.18</v>
      </c>
      <c r="J63">
        <v>3.33</v>
      </c>
      <c r="Z63">
        <v>58</v>
      </c>
      <c r="AA63">
        <f t="shared" si="2"/>
        <v>111</v>
      </c>
      <c r="AB63">
        <v>23.707450000000001</v>
      </c>
      <c r="AJ63">
        <v>58</v>
      </c>
      <c r="AK63">
        <f t="shared" si="3"/>
        <v>111</v>
      </c>
      <c r="AL63">
        <v>4.5803859999999998</v>
      </c>
      <c r="AT63">
        <v>111</v>
      </c>
      <c r="AU63">
        <v>4.5803859999999998</v>
      </c>
      <c r="AV63">
        <v>23.707450000000001</v>
      </c>
    </row>
    <row r="64" spans="1:48" x14ac:dyDescent="0.25">
      <c r="A64" t="s">
        <v>41</v>
      </c>
      <c r="E64">
        <v>7.37</v>
      </c>
      <c r="I64">
        <v>2.56</v>
      </c>
      <c r="Z64">
        <v>59</v>
      </c>
      <c r="AA64">
        <f t="shared" si="2"/>
        <v>112</v>
      </c>
      <c r="AB64">
        <v>24.794319999999999</v>
      </c>
      <c r="AJ64">
        <v>59</v>
      </c>
      <c r="AK64">
        <f t="shared" si="3"/>
        <v>112</v>
      </c>
      <c r="AL64">
        <v>4.7639189999999996</v>
      </c>
      <c r="AT64">
        <v>112</v>
      </c>
      <c r="AU64">
        <v>4.7639189999999996</v>
      </c>
      <c r="AV64">
        <v>24.794319999999999</v>
      </c>
    </row>
    <row r="65" spans="1:48" x14ac:dyDescent="0.25">
      <c r="A65" t="s">
        <v>25</v>
      </c>
      <c r="E65">
        <v>6.15</v>
      </c>
      <c r="I65">
        <v>3.13</v>
      </c>
      <c r="Z65">
        <v>60</v>
      </c>
      <c r="AA65">
        <f t="shared" si="2"/>
        <v>113</v>
      </c>
      <c r="AB65">
        <v>25.924050000000001</v>
      </c>
      <c r="AJ65">
        <v>60</v>
      </c>
      <c r="AK65">
        <f t="shared" si="3"/>
        <v>113</v>
      </c>
      <c r="AL65">
        <v>4.9410429999999996</v>
      </c>
      <c r="AT65">
        <v>113</v>
      </c>
      <c r="AU65">
        <v>4.9410429999999996</v>
      </c>
      <c r="AV65">
        <v>25.924050000000001</v>
      </c>
    </row>
    <row r="66" spans="1:48" x14ac:dyDescent="0.25">
      <c r="Z66">
        <v>61</v>
      </c>
      <c r="AA66">
        <f t="shared" si="2"/>
        <v>114</v>
      </c>
      <c r="AB66">
        <v>27.099550000000001</v>
      </c>
      <c r="AJ66">
        <v>61</v>
      </c>
      <c r="AK66">
        <f t="shared" si="3"/>
        <v>114</v>
      </c>
      <c r="AL66">
        <v>5.1116669999999997</v>
      </c>
      <c r="AT66">
        <v>114</v>
      </c>
      <c r="AU66">
        <v>5.1116669999999997</v>
      </c>
      <c r="AV66">
        <v>27.099550000000001</v>
      </c>
    </row>
    <row r="67" spans="1:48" x14ac:dyDescent="0.25">
      <c r="Z67">
        <v>62</v>
      </c>
      <c r="AA67">
        <f t="shared" si="2"/>
        <v>115</v>
      </c>
      <c r="AB67">
        <v>28.323730000000001</v>
      </c>
      <c r="AJ67">
        <v>62</v>
      </c>
      <c r="AK67">
        <f t="shared" si="3"/>
        <v>115</v>
      </c>
      <c r="AL67">
        <v>5.275703</v>
      </c>
      <c r="AT67">
        <v>115</v>
      </c>
      <c r="AU67">
        <v>5.275703</v>
      </c>
      <c r="AV67">
        <v>28.323730000000001</v>
      </c>
    </row>
    <row r="68" spans="1:48" x14ac:dyDescent="0.25">
      <c r="Z68">
        <v>63</v>
      </c>
      <c r="AA68">
        <f t="shared" si="2"/>
        <v>116</v>
      </c>
      <c r="AB68">
        <v>29.599489999999999</v>
      </c>
      <c r="AJ68">
        <v>63</v>
      </c>
      <c r="AK68">
        <f t="shared" si="3"/>
        <v>116</v>
      </c>
      <c r="AL68">
        <v>5.4330610000000004</v>
      </c>
      <c r="AT68">
        <v>116</v>
      </c>
      <c r="AU68">
        <v>5.4330610000000004</v>
      </c>
      <c r="AV68">
        <v>29.599489999999999</v>
      </c>
    </row>
    <row r="69" spans="1:48" x14ac:dyDescent="0.25">
      <c r="Z69">
        <v>64</v>
      </c>
      <c r="AA69">
        <f t="shared" ref="AA69:AA94" si="4">Z69+53</f>
        <v>117</v>
      </c>
      <c r="AB69">
        <v>30.929739999999999</v>
      </c>
      <c r="AJ69">
        <v>64</v>
      </c>
      <c r="AK69">
        <f t="shared" ref="AK69:AK100" si="5">AJ69+53</f>
        <v>117</v>
      </c>
      <c r="AL69">
        <v>5.583653</v>
      </c>
      <c r="AT69">
        <v>117</v>
      </c>
      <c r="AU69">
        <v>5.583653</v>
      </c>
      <c r="AV69">
        <v>30.929739999999999</v>
      </c>
    </row>
    <row r="70" spans="1:48" x14ac:dyDescent="0.25">
      <c r="Z70">
        <v>65</v>
      </c>
      <c r="AA70">
        <f t="shared" si="4"/>
        <v>118</v>
      </c>
      <c r="AB70">
        <v>32.317390000000003</v>
      </c>
      <c r="AJ70">
        <v>65</v>
      </c>
      <c r="AK70">
        <f t="shared" si="5"/>
        <v>118</v>
      </c>
      <c r="AL70">
        <v>5.7273889999999996</v>
      </c>
      <c r="AT70">
        <v>118</v>
      </c>
      <c r="AU70">
        <v>5.7273889999999996</v>
      </c>
      <c r="AV70">
        <v>32.317390000000003</v>
      </c>
    </row>
    <row r="71" spans="1:48" x14ac:dyDescent="0.25">
      <c r="Z71">
        <v>66</v>
      </c>
      <c r="AA71">
        <f t="shared" si="4"/>
        <v>119</v>
      </c>
      <c r="AB71">
        <v>33.765340000000002</v>
      </c>
      <c r="AJ71">
        <v>66</v>
      </c>
      <c r="AK71">
        <f t="shared" si="5"/>
        <v>119</v>
      </c>
      <c r="AL71">
        <v>5.8641800000000002</v>
      </c>
      <c r="AT71">
        <v>119</v>
      </c>
      <c r="AU71">
        <v>5.8641800000000002</v>
      </c>
      <c r="AV71">
        <v>33.765340000000002</v>
      </c>
    </row>
    <row r="72" spans="1:48" x14ac:dyDescent="0.25">
      <c r="Z72">
        <v>67</v>
      </c>
      <c r="AA72">
        <f t="shared" si="4"/>
        <v>120</v>
      </c>
      <c r="AB72">
        <v>35.276490000000003</v>
      </c>
      <c r="AJ72">
        <v>67</v>
      </c>
      <c r="AK72">
        <f t="shared" si="5"/>
        <v>120</v>
      </c>
      <c r="AL72">
        <v>5.9939359999999997</v>
      </c>
      <c r="AT72">
        <v>120</v>
      </c>
      <c r="AU72">
        <v>5.9939359999999997</v>
      </c>
      <c r="AV72">
        <v>35.276490000000003</v>
      </c>
    </row>
    <row r="73" spans="1:48" x14ac:dyDescent="0.25">
      <c r="Z73">
        <v>68</v>
      </c>
      <c r="AA73">
        <f t="shared" si="4"/>
        <v>121</v>
      </c>
      <c r="AB73">
        <v>36.853760000000001</v>
      </c>
      <c r="AJ73">
        <v>68</v>
      </c>
      <c r="AK73">
        <f t="shared" si="5"/>
        <v>121</v>
      </c>
      <c r="AL73">
        <v>6.1165700000000003</v>
      </c>
      <c r="AT73">
        <v>121</v>
      </c>
      <c r="AU73">
        <v>6.1165700000000003</v>
      </c>
      <c r="AV73">
        <v>36.853760000000001</v>
      </c>
    </row>
    <row r="74" spans="1:48" x14ac:dyDescent="0.25">
      <c r="Z74">
        <v>69</v>
      </c>
      <c r="AA74">
        <f t="shared" si="4"/>
        <v>122</v>
      </c>
      <c r="AB74">
        <v>38.500050000000002</v>
      </c>
      <c r="AJ74">
        <v>69</v>
      </c>
      <c r="AK74">
        <f t="shared" si="5"/>
        <v>122</v>
      </c>
      <c r="AL74">
        <v>6.2319899999999997</v>
      </c>
      <c r="AT74">
        <v>122</v>
      </c>
      <c r="AU74">
        <v>6.2319899999999997</v>
      </c>
      <c r="AV74">
        <v>38.500050000000002</v>
      </c>
    </row>
    <row r="75" spans="1:48" x14ac:dyDescent="0.25">
      <c r="Z75">
        <v>70</v>
      </c>
      <c r="AA75">
        <f t="shared" si="4"/>
        <v>123</v>
      </c>
      <c r="AB75">
        <v>40.218269999999997</v>
      </c>
      <c r="AJ75">
        <v>70</v>
      </c>
      <c r="AK75">
        <f t="shared" si="5"/>
        <v>123</v>
      </c>
      <c r="AL75">
        <v>6.3401079999999999</v>
      </c>
      <c r="AT75">
        <v>123</v>
      </c>
      <c r="AU75">
        <v>6.3401079999999999</v>
      </c>
      <c r="AV75">
        <v>40.218269999999997</v>
      </c>
    </row>
    <row r="76" spans="1:48" x14ac:dyDescent="0.25">
      <c r="Z76">
        <v>71</v>
      </c>
      <c r="AA76">
        <f t="shared" si="4"/>
        <v>124</v>
      </c>
      <c r="AB76">
        <v>42.007339999999999</v>
      </c>
      <c r="AJ76">
        <v>71</v>
      </c>
      <c r="AK76">
        <f t="shared" si="5"/>
        <v>124</v>
      </c>
      <c r="AL76">
        <v>6.440836</v>
      </c>
      <c r="AT76">
        <v>124</v>
      </c>
      <c r="AU76">
        <v>6.440836</v>
      </c>
      <c r="AV76">
        <v>42.007339999999999</v>
      </c>
    </row>
    <row r="77" spans="1:48" x14ac:dyDescent="0.25">
      <c r="Z77">
        <v>72</v>
      </c>
      <c r="AA77">
        <f t="shared" si="4"/>
        <v>125</v>
      </c>
      <c r="AB77">
        <v>43.851379999999999</v>
      </c>
      <c r="AJ77">
        <v>72</v>
      </c>
      <c r="AK77">
        <f t="shared" si="5"/>
        <v>125</v>
      </c>
      <c r="AL77">
        <v>6.534084</v>
      </c>
      <c r="AT77">
        <v>125</v>
      </c>
      <c r="AU77">
        <v>6.534084</v>
      </c>
      <c r="AV77">
        <v>43.851379999999999</v>
      </c>
    </row>
    <row r="78" spans="1:48" x14ac:dyDescent="0.25">
      <c r="Z78">
        <v>73</v>
      </c>
      <c r="AA78">
        <f t="shared" si="4"/>
        <v>126</v>
      </c>
      <c r="AB78">
        <v>45.73021</v>
      </c>
      <c r="AJ78">
        <v>73</v>
      </c>
      <c r="AK78">
        <f t="shared" si="5"/>
        <v>126</v>
      </c>
      <c r="AL78">
        <v>6.6197619999999997</v>
      </c>
      <c r="AT78">
        <v>126</v>
      </c>
      <c r="AU78">
        <v>6.6197619999999997</v>
      </c>
      <c r="AV78">
        <v>45.73021</v>
      </c>
    </row>
    <row r="79" spans="1:48" x14ac:dyDescent="0.25">
      <c r="Z79">
        <v>74</v>
      </c>
      <c r="AA79">
        <f t="shared" si="4"/>
        <v>127</v>
      </c>
      <c r="AB79">
        <v>47.623820000000002</v>
      </c>
      <c r="AJ79">
        <v>74</v>
      </c>
      <c r="AK79">
        <f t="shared" si="5"/>
        <v>127</v>
      </c>
      <c r="AL79">
        <v>6.6977820000000001</v>
      </c>
      <c r="AT79">
        <v>127</v>
      </c>
      <c r="AU79">
        <v>6.6977820000000001</v>
      </c>
      <c r="AV79">
        <v>47.623820000000002</v>
      </c>
    </row>
    <row r="80" spans="1:48" x14ac:dyDescent="0.25">
      <c r="Z80">
        <v>75</v>
      </c>
      <c r="AA80">
        <f t="shared" si="4"/>
        <v>128</v>
      </c>
      <c r="AB80">
        <v>49.512189999999997</v>
      </c>
      <c r="AJ80">
        <v>75</v>
      </c>
      <c r="AK80">
        <f t="shared" si="5"/>
        <v>128</v>
      </c>
      <c r="AL80">
        <v>6.7680530000000001</v>
      </c>
      <c r="AT80">
        <v>128</v>
      </c>
      <c r="AU80">
        <v>6.7680530000000001</v>
      </c>
      <c r="AV80">
        <v>49.512189999999997</v>
      </c>
    </row>
    <row r="81" spans="26:48" x14ac:dyDescent="0.25">
      <c r="Z81">
        <v>76</v>
      </c>
      <c r="AA81">
        <f t="shared" si="4"/>
        <v>129</v>
      </c>
      <c r="AB81">
        <v>51.37529</v>
      </c>
      <c r="AJ81">
        <v>76</v>
      </c>
      <c r="AK81">
        <f t="shared" si="5"/>
        <v>129</v>
      </c>
      <c r="AL81">
        <v>6.8304879999999999</v>
      </c>
      <c r="AT81">
        <v>129</v>
      </c>
      <c r="AU81">
        <v>6.8304879999999999</v>
      </c>
      <c r="AV81">
        <v>51.37529</v>
      </c>
    </row>
    <row r="82" spans="26:48" x14ac:dyDescent="0.25">
      <c r="Z82">
        <v>77</v>
      </c>
      <c r="AA82">
        <f t="shared" si="4"/>
        <v>130</v>
      </c>
      <c r="AB82">
        <v>53.193100000000001</v>
      </c>
      <c r="AJ82">
        <v>77</v>
      </c>
      <c r="AK82">
        <f t="shared" si="5"/>
        <v>130</v>
      </c>
      <c r="AL82">
        <v>6.8849960000000001</v>
      </c>
      <c r="AT82">
        <v>130</v>
      </c>
      <c r="AU82">
        <v>6.8849960000000001</v>
      </c>
      <c r="AV82">
        <v>53.193100000000001</v>
      </c>
    </row>
    <row r="83" spans="26:48" x14ac:dyDescent="0.25">
      <c r="Z83">
        <v>78</v>
      </c>
      <c r="AA83">
        <f t="shared" si="4"/>
        <v>131</v>
      </c>
      <c r="AB83">
        <v>54.945619999999998</v>
      </c>
      <c r="AJ83">
        <v>78</v>
      </c>
      <c r="AK83">
        <f t="shared" si="5"/>
        <v>131</v>
      </c>
      <c r="AL83">
        <v>6.931489</v>
      </c>
      <c r="AT83">
        <v>131</v>
      </c>
      <c r="AU83">
        <v>6.931489</v>
      </c>
      <c r="AV83">
        <v>54.945619999999998</v>
      </c>
    </row>
    <row r="84" spans="26:48" x14ac:dyDescent="0.25">
      <c r="Z84">
        <v>79</v>
      </c>
      <c r="AA84">
        <f t="shared" si="4"/>
        <v>132</v>
      </c>
      <c r="AB84">
        <v>56.612810000000003</v>
      </c>
      <c r="AJ84">
        <v>79</v>
      </c>
      <c r="AK84">
        <f t="shared" si="5"/>
        <v>132</v>
      </c>
      <c r="AL84">
        <v>6.9698779999999996</v>
      </c>
      <c r="AT84">
        <v>132</v>
      </c>
      <c r="AU84">
        <v>6.9698779999999996</v>
      </c>
      <c r="AV84">
        <v>56.612810000000003</v>
      </c>
    </row>
    <row r="85" spans="26:48" x14ac:dyDescent="0.25">
      <c r="Z85">
        <v>80</v>
      </c>
      <c r="AA85">
        <f t="shared" si="4"/>
        <v>133</v>
      </c>
      <c r="AB85">
        <v>58.174660000000003</v>
      </c>
      <c r="AJ85">
        <v>80</v>
      </c>
      <c r="AK85">
        <f t="shared" si="5"/>
        <v>133</v>
      </c>
      <c r="AL85">
        <v>7.0000730000000004</v>
      </c>
      <c r="AT85">
        <v>133</v>
      </c>
      <c r="AU85">
        <v>7.0000730000000004</v>
      </c>
      <c r="AV85">
        <v>58.174660000000003</v>
      </c>
    </row>
    <row r="86" spans="26:48" x14ac:dyDescent="0.25">
      <c r="Z86">
        <v>81</v>
      </c>
      <c r="AA86">
        <f t="shared" si="4"/>
        <v>134</v>
      </c>
      <c r="AB86">
        <v>59.611139999999999</v>
      </c>
      <c r="AJ86">
        <v>81</v>
      </c>
      <c r="AK86">
        <f t="shared" si="5"/>
        <v>134</v>
      </c>
      <c r="AL86">
        <v>7.0219849999999999</v>
      </c>
      <c r="AT86">
        <v>134</v>
      </c>
      <c r="AU86">
        <v>7.0219849999999999</v>
      </c>
      <c r="AV86">
        <v>59.611139999999999</v>
      </c>
    </row>
    <row r="87" spans="26:48" x14ac:dyDescent="0.25">
      <c r="Z87">
        <v>82</v>
      </c>
      <c r="AA87">
        <f t="shared" si="4"/>
        <v>135</v>
      </c>
      <c r="AB87">
        <v>60.902250000000002</v>
      </c>
      <c r="AJ87">
        <v>82</v>
      </c>
      <c r="AK87">
        <f t="shared" si="5"/>
        <v>135</v>
      </c>
      <c r="AL87">
        <v>7.0355249999999998</v>
      </c>
      <c r="AT87">
        <v>135</v>
      </c>
      <c r="AU87">
        <v>7.0355249999999998</v>
      </c>
      <c r="AV87">
        <v>60.902250000000002</v>
      </c>
    </row>
    <row r="88" spans="26:48" x14ac:dyDescent="0.25">
      <c r="Z88">
        <v>83</v>
      </c>
      <c r="AA88">
        <f t="shared" si="4"/>
        <v>136</v>
      </c>
      <c r="AB88">
        <v>62.027949999999997</v>
      </c>
      <c r="AJ88">
        <v>83</v>
      </c>
      <c r="AK88">
        <f t="shared" si="5"/>
        <v>136</v>
      </c>
      <c r="AL88">
        <v>7.0406040000000001</v>
      </c>
      <c r="AT88">
        <v>136</v>
      </c>
      <c r="AU88">
        <v>7.0406040000000001</v>
      </c>
      <c r="AV88">
        <v>62.027949999999997</v>
      </c>
    </row>
    <row r="89" spans="26:48" x14ac:dyDescent="0.25">
      <c r="Z89">
        <v>84</v>
      </c>
      <c r="AA89">
        <f t="shared" si="4"/>
        <v>137</v>
      </c>
      <c r="AB89">
        <v>62.968229999999998</v>
      </c>
      <c r="AJ89">
        <v>84</v>
      </c>
      <c r="AK89">
        <f t="shared" si="5"/>
        <v>137</v>
      </c>
      <c r="AL89">
        <v>7.0371319999999997</v>
      </c>
      <c r="AT89">
        <v>137</v>
      </c>
      <c r="AU89">
        <v>7.0371319999999997</v>
      </c>
      <c r="AV89">
        <v>62.968229999999998</v>
      </c>
    </row>
    <row r="90" spans="26:48" x14ac:dyDescent="0.25">
      <c r="Z90">
        <v>85</v>
      </c>
      <c r="AA90">
        <f t="shared" si="4"/>
        <v>138</v>
      </c>
      <c r="AB90">
        <v>63.70308</v>
      </c>
      <c r="AJ90">
        <v>85</v>
      </c>
      <c r="AK90">
        <f t="shared" si="5"/>
        <v>138</v>
      </c>
      <c r="AL90">
        <v>7.0250199999999996</v>
      </c>
      <c r="AT90">
        <v>138</v>
      </c>
      <c r="AU90">
        <v>7.0250199999999996</v>
      </c>
      <c r="AV90">
        <v>63.70308</v>
      </c>
    </row>
    <row r="91" spans="26:48" x14ac:dyDescent="0.25">
      <c r="Z91">
        <v>86</v>
      </c>
      <c r="AA91">
        <f t="shared" si="4"/>
        <v>139</v>
      </c>
      <c r="AB91">
        <v>64.212459999999993</v>
      </c>
      <c r="AJ91">
        <v>86</v>
      </c>
      <c r="AK91">
        <f t="shared" si="5"/>
        <v>139</v>
      </c>
      <c r="AL91">
        <v>7.0041789999999997</v>
      </c>
      <c r="AT91">
        <v>139</v>
      </c>
      <c r="AU91">
        <v>7.0041789999999997</v>
      </c>
      <c r="AV91">
        <v>64.212459999999993</v>
      </c>
    </row>
    <row r="92" spans="26:48" x14ac:dyDescent="0.25">
      <c r="Z92">
        <v>87</v>
      </c>
      <c r="AA92">
        <f t="shared" si="4"/>
        <v>140</v>
      </c>
      <c r="AB92">
        <v>64.47636</v>
      </c>
      <c r="AJ92">
        <v>87</v>
      </c>
      <c r="AK92">
        <f t="shared" si="5"/>
        <v>140</v>
      </c>
      <c r="AL92">
        <v>6.9745210000000002</v>
      </c>
      <c r="AT92">
        <v>140</v>
      </c>
      <c r="AU92">
        <v>6.9745210000000002</v>
      </c>
      <c r="AV92">
        <v>64.47636</v>
      </c>
    </row>
    <row r="93" spans="26:48" x14ac:dyDescent="0.25">
      <c r="Z93">
        <v>88</v>
      </c>
      <c r="AA93">
        <f t="shared" si="4"/>
        <v>141</v>
      </c>
      <c r="AB93">
        <v>64.474760000000003</v>
      </c>
      <c r="AJ93">
        <v>88</v>
      </c>
      <c r="AK93">
        <f t="shared" si="5"/>
        <v>141</v>
      </c>
      <c r="AL93">
        <v>6.9359549999999999</v>
      </c>
      <c r="AT93">
        <v>141</v>
      </c>
      <c r="AU93">
        <v>6.9359549999999999</v>
      </c>
      <c r="AV93">
        <v>64.474760000000003</v>
      </c>
    </row>
    <row r="94" spans="26:48" x14ac:dyDescent="0.25">
      <c r="Z94">
        <v>89</v>
      </c>
      <c r="AA94">
        <f t="shared" si="4"/>
        <v>142</v>
      </c>
      <c r="AB94">
        <v>64.474760000000003</v>
      </c>
      <c r="AJ94">
        <v>89</v>
      </c>
      <c r="AK94">
        <f t="shared" si="5"/>
        <v>142</v>
      </c>
      <c r="AL94">
        <v>6.8883929999999998</v>
      </c>
      <c r="AT94">
        <v>142</v>
      </c>
      <c r="AU94">
        <v>0</v>
      </c>
      <c r="AV94">
        <v>2</v>
      </c>
    </row>
    <row r="95" spans="26:48" x14ac:dyDescent="0.25">
      <c r="Z95">
        <v>0</v>
      </c>
      <c r="AA95">
        <f t="shared" ref="AA95:AA102" si="6">R5+53</f>
        <v>53</v>
      </c>
      <c r="AC95">
        <v>2</v>
      </c>
      <c r="AJ95">
        <v>0</v>
      </c>
      <c r="AK95">
        <f t="shared" si="5"/>
        <v>53</v>
      </c>
      <c r="AM95">
        <v>0</v>
      </c>
      <c r="AT95">
        <v>143</v>
      </c>
      <c r="AU95">
        <v>0.1688103</v>
      </c>
      <c r="AV95">
        <v>2.5848909999999998</v>
      </c>
    </row>
    <row r="96" spans="26:48" x14ac:dyDescent="0.25">
      <c r="Z96">
        <v>55</v>
      </c>
      <c r="AA96">
        <f t="shared" si="6"/>
        <v>108</v>
      </c>
      <c r="AC96">
        <v>20.399999999999999</v>
      </c>
      <c r="AJ96">
        <v>55</v>
      </c>
      <c r="AK96">
        <f t="shared" si="5"/>
        <v>108</v>
      </c>
      <c r="AM96">
        <v>3.9434997869483848</v>
      </c>
      <c r="AT96">
        <v>144</v>
      </c>
      <c r="AU96">
        <v>0.35187889999999999</v>
      </c>
      <c r="AV96">
        <v>3.347953</v>
      </c>
    </row>
    <row r="97" spans="1:48" x14ac:dyDescent="0.25">
      <c r="Z97">
        <v>69</v>
      </c>
      <c r="AA97">
        <f t="shared" si="6"/>
        <v>122</v>
      </c>
      <c r="AC97">
        <v>37.549999999999997</v>
      </c>
      <c r="AJ97">
        <v>69</v>
      </c>
      <c r="AK97">
        <f t="shared" si="5"/>
        <v>122</v>
      </c>
      <c r="AM97">
        <v>6.4031237112534996</v>
      </c>
      <c r="AT97">
        <v>145</v>
      </c>
      <c r="AU97">
        <v>0.54697629999999997</v>
      </c>
      <c r="AV97">
        <v>4.2905509999999998</v>
      </c>
    </row>
    <row r="98" spans="1:48" x14ac:dyDescent="0.25">
      <c r="Z98">
        <v>88</v>
      </c>
      <c r="AA98">
        <f t="shared" si="6"/>
        <v>141</v>
      </c>
      <c r="AC98">
        <v>63.95</v>
      </c>
      <c r="AJ98">
        <v>88</v>
      </c>
      <c r="AK98">
        <f t="shared" si="5"/>
        <v>141</v>
      </c>
      <c r="AM98">
        <v>6.436128420051114</v>
      </c>
      <c r="AT98">
        <v>146</v>
      </c>
      <c r="AU98">
        <v>0.75187079999999995</v>
      </c>
      <c r="AV98">
        <v>5.4140490000000003</v>
      </c>
    </row>
    <row r="99" spans="1:48" x14ac:dyDescent="0.25">
      <c r="A99" t="s">
        <v>7</v>
      </c>
      <c r="B99">
        <v>108</v>
      </c>
      <c r="C99">
        <v>122</v>
      </c>
      <c r="D99">
        <v>141</v>
      </c>
      <c r="E99">
        <v>158</v>
      </c>
      <c r="F99">
        <v>172</v>
      </c>
      <c r="G99">
        <v>183</v>
      </c>
      <c r="H99">
        <v>207</v>
      </c>
      <c r="Z99">
        <v>0</v>
      </c>
      <c r="AA99">
        <f t="shared" si="6"/>
        <v>53</v>
      </c>
      <c r="AC99">
        <v>2</v>
      </c>
      <c r="AJ99">
        <v>0</v>
      </c>
      <c r="AK99">
        <f t="shared" si="5"/>
        <v>53</v>
      </c>
      <c r="AM99">
        <v>0</v>
      </c>
      <c r="AT99">
        <v>147</v>
      </c>
      <c r="AU99">
        <v>0.96433069999999999</v>
      </c>
      <c r="AV99">
        <v>6.7198140000000004</v>
      </c>
    </row>
    <row r="100" spans="1:48" x14ac:dyDescent="0.25">
      <c r="A100" t="s">
        <v>40</v>
      </c>
      <c r="B100">
        <v>3.94</v>
      </c>
      <c r="C100">
        <v>6.4</v>
      </c>
      <c r="D100">
        <v>6.44</v>
      </c>
      <c r="E100">
        <v>3.1</v>
      </c>
      <c r="F100">
        <v>4.09</v>
      </c>
      <c r="G100">
        <v>4.97</v>
      </c>
      <c r="H100">
        <v>3.59</v>
      </c>
      <c r="Z100">
        <v>55</v>
      </c>
      <c r="AA100">
        <f t="shared" si="6"/>
        <v>108</v>
      </c>
      <c r="AC100">
        <v>20.95</v>
      </c>
      <c r="AJ100">
        <v>55</v>
      </c>
      <c r="AK100">
        <f t="shared" si="5"/>
        <v>108</v>
      </c>
      <c r="AM100">
        <v>4.0417157153963652</v>
      </c>
      <c r="AT100">
        <v>148</v>
      </c>
      <c r="AU100">
        <v>1.1821250000000001</v>
      </c>
      <c r="AV100">
        <v>8.206747</v>
      </c>
    </row>
    <row r="101" spans="1:48" x14ac:dyDescent="0.25">
      <c r="A101" t="s">
        <v>24</v>
      </c>
      <c r="B101">
        <v>4.04</v>
      </c>
      <c r="C101">
        <v>6.06</v>
      </c>
      <c r="D101">
        <v>7.44</v>
      </c>
      <c r="E101">
        <v>3.23</v>
      </c>
      <c r="F101">
        <v>4.0999999999999996</v>
      </c>
      <c r="G101">
        <v>4.18</v>
      </c>
      <c r="H101">
        <v>3.33</v>
      </c>
      <c r="Z101">
        <v>69</v>
      </c>
      <c r="AA101">
        <f t="shared" si="6"/>
        <v>122</v>
      </c>
      <c r="AC101">
        <v>39.450000000000003</v>
      </c>
      <c r="AJ101">
        <v>69</v>
      </c>
      <c r="AK101">
        <f t="shared" ref="AK101:AK102" si="7">AJ101+53</f>
        <v>122</v>
      </c>
      <c r="AM101">
        <v>6.0608181977655224</v>
      </c>
      <c r="AT101">
        <v>149</v>
      </c>
      <c r="AU101">
        <v>1.4030210000000001</v>
      </c>
      <c r="AV101">
        <v>9.863899</v>
      </c>
    </row>
    <row r="102" spans="1:48" x14ac:dyDescent="0.25">
      <c r="Z102">
        <v>88</v>
      </c>
      <c r="AA102">
        <f t="shared" si="6"/>
        <v>141</v>
      </c>
      <c r="AC102">
        <v>65</v>
      </c>
      <c r="AJ102">
        <v>88</v>
      </c>
      <c r="AK102">
        <f t="shared" si="7"/>
        <v>141</v>
      </c>
      <c r="AM102">
        <v>7.4357377137459935</v>
      </c>
      <c r="AT102">
        <v>150</v>
      </c>
      <c r="AU102">
        <v>1.6247879999999999</v>
      </c>
      <c r="AV102">
        <v>11.677860000000001</v>
      </c>
    </row>
    <row r="103" spans="1:48" x14ac:dyDescent="0.25">
      <c r="A103" t="s">
        <v>39</v>
      </c>
      <c r="B103">
        <v>20.399999999999999</v>
      </c>
      <c r="C103">
        <v>37.6</v>
      </c>
      <c r="D103">
        <v>64</v>
      </c>
      <c r="E103">
        <v>28.2</v>
      </c>
      <c r="F103">
        <v>64.099999999999994</v>
      </c>
      <c r="G103">
        <v>70.2</v>
      </c>
      <c r="H103">
        <v>40.5</v>
      </c>
      <c r="Z103">
        <v>0</v>
      </c>
      <c r="AA103">
        <f t="shared" ref="AA103:AA150" si="8">Z103+142</f>
        <v>142</v>
      </c>
      <c r="AD103">
        <v>2</v>
      </c>
      <c r="AJ103">
        <v>0</v>
      </c>
      <c r="AK103">
        <f t="shared" ref="AK103:AK134" si="9">AJ103+142</f>
        <v>142</v>
      </c>
      <c r="AN103">
        <v>0</v>
      </c>
      <c r="AT103">
        <v>151</v>
      </c>
      <c r="AU103">
        <v>1.8451930000000001</v>
      </c>
      <c r="AV103">
        <v>13.635210000000001</v>
      </c>
    </row>
    <row r="104" spans="1:48" x14ac:dyDescent="0.25">
      <c r="A104" t="s">
        <v>23</v>
      </c>
      <c r="B104">
        <v>21</v>
      </c>
      <c r="C104">
        <v>39.5</v>
      </c>
      <c r="D104">
        <v>65</v>
      </c>
      <c r="E104">
        <v>32.299999999999997</v>
      </c>
      <c r="F104">
        <v>64.099999999999994</v>
      </c>
      <c r="G104">
        <v>72.7</v>
      </c>
      <c r="H104">
        <v>41.2</v>
      </c>
      <c r="Z104">
        <v>1</v>
      </c>
      <c r="AA104">
        <f t="shared" si="8"/>
        <v>143</v>
      </c>
      <c r="AD104">
        <v>2.5848909999999998</v>
      </c>
      <c r="AJ104">
        <v>1</v>
      </c>
      <c r="AK104">
        <f t="shared" si="9"/>
        <v>143</v>
      </c>
      <c r="AN104">
        <v>0.1688103</v>
      </c>
      <c r="AT104">
        <v>152</v>
      </c>
      <c r="AU104">
        <v>2.0620059999999998</v>
      </c>
      <c r="AV104">
        <v>15.72254</v>
      </c>
    </row>
    <row r="105" spans="1:48" x14ac:dyDescent="0.25">
      <c r="E105" t="s">
        <v>0</v>
      </c>
      <c r="Z105">
        <v>2</v>
      </c>
      <c r="AA105">
        <f t="shared" si="8"/>
        <v>144</v>
      </c>
      <c r="AD105">
        <v>3.347953</v>
      </c>
      <c r="AJ105">
        <v>2</v>
      </c>
      <c r="AK105">
        <f t="shared" si="9"/>
        <v>144</v>
      </c>
      <c r="AN105">
        <v>0.35187889999999999</v>
      </c>
      <c r="AT105">
        <v>153</v>
      </c>
      <c r="AU105">
        <v>2.2729949999999999</v>
      </c>
      <c r="AV105">
        <v>17.926439999999999</v>
      </c>
    </row>
    <row r="106" spans="1:48" x14ac:dyDescent="0.25">
      <c r="A106">
        <v>21</v>
      </c>
      <c r="B106">
        <v>39.5</v>
      </c>
      <c r="C106">
        <v>65</v>
      </c>
      <c r="D106">
        <v>32.299999999999997</v>
      </c>
      <c r="E106">
        <v>64.099999999999994</v>
      </c>
      <c r="F106">
        <v>72.7</v>
      </c>
      <c r="G106">
        <v>41.2</v>
      </c>
      <c r="H106">
        <v>20.399999999999999</v>
      </c>
      <c r="I106">
        <v>37.6</v>
      </c>
      <c r="J106">
        <v>64</v>
      </c>
      <c r="K106">
        <v>28.2</v>
      </c>
      <c r="L106">
        <v>64.099999999999994</v>
      </c>
      <c r="M106">
        <v>70.2</v>
      </c>
      <c r="N106">
        <v>40.5</v>
      </c>
      <c r="Z106">
        <v>3</v>
      </c>
      <c r="AA106">
        <f t="shared" si="8"/>
        <v>145</v>
      </c>
      <c r="AD106">
        <v>4.2905509999999998</v>
      </c>
      <c r="AJ106">
        <v>3</v>
      </c>
      <c r="AK106">
        <f t="shared" si="9"/>
        <v>145</v>
      </c>
      <c r="AN106">
        <v>0.54697629999999997</v>
      </c>
      <c r="AT106">
        <v>154</v>
      </c>
      <c r="AU106">
        <v>2.4759289999999998</v>
      </c>
      <c r="AV106">
        <v>20.233499999999999</v>
      </c>
    </row>
    <row r="107" spans="1:48" x14ac:dyDescent="0.25">
      <c r="A107">
        <v>4.04</v>
      </c>
      <c r="B107">
        <v>6.06</v>
      </c>
      <c r="C107">
        <v>7.44</v>
      </c>
      <c r="Z107">
        <v>4</v>
      </c>
      <c r="AA107">
        <f t="shared" si="8"/>
        <v>146</v>
      </c>
      <c r="AD107">
        <v>5.4140490000000003</v>
      </c>
      <c r="AJ107">
        <v>4</v>
      </c>
      <c r="AK107">
        <f t="shared" si="9"/>
        <v>146</v>
      </c>
      <c r="AN107">
        <v>0.75187079999999995</v>
      </c>
      <c r="AT107">
        <v>155</v>
      </c>
      <c r="AU107">
        <v>2.668574</v>
      </c>
      <c r="AV107">
        <v>22.630289999999999</v>
      </c>
    </row>
    <row r="108" spans="1:48" x14ac:dyDescent="0.25">
      <c r="D108">
        <v>3.23</v>
      </c>
      <c r="E108">
        <v>4.0999999999999996</v>
      </c>
      <c r="F108">
        <v>4.18</v>
      </c>
      <c r="Z108">
        <v>5</v>
      </c>
      <c r="AA108">
        <f t="shared" si="8"/>
        <v>147</v>
      </c>
      <c r="AD108">
        <v>6.7198140000000004</v>
      </c>
      <c r="AJ108">
        <v>5</v>
      </c>
      <c r="AK108">
        <f t="shared" si="9"/>
        <v>147</v>
      </c>
      <c r="AN108">
        <v>0.96433069999999999</v>
      </c>
      <c r="AT108">
        <v>156</v>
      </c>
      <c r="AU108">
        <v>2.8487010000000001</v>
      </c>
      <c r="AV108">
        <v>25.10342</v>
      </c>
    </row>
    <row r="109" spans="1:48" x14ac:dyDescent="0.25">
      <c r="G109">
        <v>3.33</v>
      </c>
      <c r="Z109">
        <v>6</v>
      </c>
      <c r="AA109">
        <f t="shared" si="8"/>
        <v>148</v>
      </c>
      <c r="AD109">
        <v>8.206747</v>
      </c>
      <c r="AJ109">
        <v>6</v>
      </c>
      <c r="AK109">
        <f t="shared" si="9"/>
        <v>148</v>
      </c>
      <c r="AN109">
        <v>1.1821250000000001</v>
      </c>
      <c r="AT109">
        <v>157</v>
      </c>
      <c r="AU109">
        <v>3.0140769999999999</v>
      </c>
      <c r="AV109">
        <v>27.639469999999999</v>
      </c>
    </row>
    <row r="110" spans="1:48" x14ac:dyDescent="0.25">
      <c r="H110">
        <v>3.94</v>
      </c>
      <c r="I110">
        <v>6.4</v>
      </c>
      <c r="J110">
        <v>6.44</v>
      </c>
      <c r="Z110">
        <v>7</v>
      </c>
      <c r="AA110">
        <f t="shared" si="8"/>
        <v>149</v>
      </c>
      <c r="AD110">
        <v>9.863899</v>
      </c>
      <c r="AJ110">
        <v>7</v>
      </c>
      <c r="AK110">
        <f t="shared" si="9"/>
        <v>149</v>
      </c>
      <c r="AN110">
        <v>1.4030210000000001</v>
      </c>
      <c r="AT110">
        <v>158</v>
      </c>
      <c r="AU110">
        <v>3.16303</v>
      </c>
      <c r="AV110">
        <v>30.225020000000001</v>
      </c>
    </row>
    <row r="111" spans="1:48" x14ac:dyDescent="0.25">
      <c r="K111">
        <v>3.1</v>
      </c>
      <c r="L111">
        <v>4.09</v>
      </c>
      <c r="M111">
        <v>4.97</v>
      </c>
      <c r="Z111">
        <v>8</v>
      </c>
      <c r="AA111">
        <f t="shared" si="8"/>
        <v>150</v>
      </c>
      <c r="AD111">
        <v>11.677860000000001</v>
      </c>
      <c r="AJ111">
        <v>8</v>
      </c>
      <c r="AK111">
        <f t="shared" si="9"/>
        <v>150</v>
      </c>
      <c r="AN111">
        <v>1.6247879999999999</v>
      </c>
      <c r="AT111">
        <v>159</v>
      </c>
      <c r="AU111">
        <v>3.2961239999999998</v>
      </c>
      <c r="AV111">
        <v>32.84666</v>
      </c>
    </row>
    <row r="112" spans="1:48" x14ac:dyDescent="0.25">
      <c r="N112">
        <v>3.59</v>
      </c>
      <c r="Z112">
        <v>9</v>
      </c>
      <c r="AA112">
        <f t="shared" si="8"/>
        <v>151</v>
      </c>
      <c r="AD112">
        <v>13.635210000000001</v>
      </c>
      <c r="AJ112">
        <v>9</v>
      </c>
      <c r="AK112">
        <f t="shared" si="9"/>
        <v>151</v>
      </c>
      <c r="AN112">
        <v>1.8451930000000001</v>
      </c>
      <c r="AT112">
        <v>160</v>
      </c>
      <c r="AU112">
        <v>3.4144830000000002</v>
      </c>
      <c r="AV112">
        <v>35.49098</v>
      </c>
    </row>
    <row r="113" spans="26:48" x14ac:dyDescent="0.25">
      <c r="Z113">
        <v>10</v>
      </c>
      <c r="AA113">
        <f t="shared" si="8"/>
        <v>152</v>
      </c>
      <c r="AD113">
        <v>15.72254</v>
      </c>
      <c r="AJ113">
        <v>10</v>
      </c>
      <c r="AK113">
        <f t="shared" si="9"/>
        <v>152</v>
      </c>
      <c r="AN113">
        <v>2.0620059999999998</v>
      </c>
      <c r="AT113">
        <v>161</v>
      </c>
      <c r="AU113">
        <v>3.5192299999999999</v>
      </c>
      <c r="AV113">
        <v>38.144570000000002</v>
      </c>
    </row>
    <row r="114" spans="26:48" x14ac:dyDescent="0.25">
      <c r="Z114">
        <v>11</v>
      </c>
      <c r="AA114">
        <f t="shared" si="8"/>
        <v>153</v>
      </c>
      <c r="AD114">
        <v>17.926439999999999</v>
      </c>
      <c r="AJ114">
        <v>11</v>
      </c>
      <c r="AK114">
        <f t="shared" si="9"/>
        <v>153</v>
      </c>
      <c r="AN114">
        <v>2.2729949999999999</v>
      </c>
      <c r="AT114">
        <v>162</v>
      </c>
      <c r="AU114">
        <v>3.6114890000000002</v>
      </c>
      <c r="AV114">
        <v>40.79401</v>
      </c>
    </row>
    <row r="115" spans="26:48" x14ac:dyDescent="0.25">
      <c r="Z115">
        <v>12</v>
      </c>
      <c r="AA115">
        <f t="shared" si="8"/>
        <v>154</v>
      </c>
      <c r="AD115">
        <v>20.233499999999999</v>
      </c>
      <c r="AJ115">
        <v>12</v>
      </c>
      <c r="AK115">
        <f t="shared" si="9"/>
        <v>154</v>
      </c>
      <c r="AN115">
        <v>2.4759289999999998</v>
      </c>
      <c r="AT115">
        <v>163</v>
      </c>
      <c r="AU115">
        <v>3.692383</v>
      </c>
      <c r="AV115">
        <v>43.425849999999997</v>
      </c>
    </row>
    <row r="116" spans="26:48" x14ac:dyDescent="0.25">
      <c r="Z116">
        <v>13</v>
      </c>
      <c r="AA116">
        <f t="shared" si="8"/>
        <v>155</v>
      </c>
      <c r="AD116">
        <v>22.630289999999999</v>
      </c>
      <c r="AJ116">
        <v>13</v>
      </c>
      <c r="AK116">
        <f t="shared" si="9"/>
        <v>155</v>
      </c>
      <c r="AN116">
        <v>2.668574</v>
      </c>
      <c r="AT116">
        <v>164</v>
      </c>
      <c r="AU116">
        <v>3.763036</v>
      </c>
      <c r="AV116">
        <v>46.026519999999998</v>
      </c>
    </row>
    <row r="117" spans="26:48" x14ac:dyDescent="0.25">
      <c r="Z117">
        <v>14</v>
      </c>
      <c r="AA117">
        <f t="shared" si="8"/>
        <v>156</v>
      </c>
      <c r="AD117">
        <v>25.10342</v>
      </c>
      <c r="AJ117">
        <v>14</v>
      </c>
      <c r="AK117">
        <f t="shared" si="9"/>
        <v>156</v>
      </c>
      <c r="AN117">
        <v>2.8487010000000001</v>
      </c>
      <c r="AT117">
        <v>165</v>
      </c>
      <c r="AU117">
        <v>3.8245719999999999</v>
      </c>
      <c r="AV117">
        <v>48.582389999999997</v>
      </c>
    </row>
    <row r="118" spans="26:48" x14ac:dyDescent="0.25">
      <c r="Z118">
        <v>15</v>
      </c>
      <c r="AA118">
        <f t="shared" si="8"/>
        <v>157</v>
      </c>
      <c r="AD118">
        <v>27.639469999999999</v>
      </c>
      <c r="AJ118">
        <v>15</v>
      </c>
      <c r="AK118">
        <f t="shared" si="9"/>
        <v>157</v>
      </c>
      <c r="AN118">
        <v>3.0140769999999999</v>
      </c>
      <c r="AT118">
        <v>166</v>
      </c>
      <c r="AU118">
        <v>3.8781140000000001</v>
      </c>
      <c r="AV118">
        <v>51.079839999999997</v>
      </c>
    </row>
    <row r="119" spans="26:48" x14ac:dyDescent="0.25">
      <c r="Z119">
        <v>16</v>
      </c>
      <c r="AA119">
        <f t="shared" si="8"/>
        <v>158</v>
      </c>
      <c r="AD119">
        <v>30.225020000000001</v>
      </c>
      <c r="AJ119">
        <v>16</v>
      </c>
      <c r="AK119">
        <f t="shared" si="9"/>
        <v>158</v>
      </c>
      <c r="AN119">
        <v>3.16303</v>
      </c>
      <c r="AT119">
        <v>167</v>
      </c>
      <c r="AU119">
        <v>3.9247860000000001</v>
      </c>
      <c r="AV119">
        <v>53.505240000000001</v>
      </c>
    </row>
    <row r="120" spans="26:48" x14ac:dyDescent="0.25">
      <c r="Z120">
        <v>17</v>
      </c>
      <c r="AA120">
        <f t="shared" si="8"/>
        <v>159</v>
      </c>
      <c r="AD120">
        <v>32.84666</v>
      </c>
      <c r="AJ120">
        <v>17</v>
      </c>
      <c r="AK120">
        <f t="shared" si="9"/>
        <v>159</v>
      </c>
      <c r="AN120">
        <v>3.2961239999999998</v>
      </c>
      <c r="AT120">
        <v>168</v>
      </c>
      <c r="AU120">
        <v>3.9657100000000001</v>
      </c>
      <c r="AV120">
        <v>55.844990000000003</v>
      </c>
    </row>
    <row r="121" spans="26:48" x14ac:dyDescent="0.25">
      <c r="Z121">
        <v>18</v>
      </c>
      <c r="AA121">
        <f t="shared" si="8"/>
        <v>160</v>
      </c>
      <c r="AD121">
        <v>35.49098</v>
      </c>
      <c r="AJ121">
        <v>18</v>
      </c>
      <c r="AK121">
        <f t="shared" si="9"/>
        <v>160</v>
      </c>
      <c r="AN121">
        <v>3.4144830000000002</v>
      </c>
      <c r="AT121">
        <v>169</v>
      </c>
      <c r="AU121">
        <v>4.0020119999999997</v>
      </c>
      <c r="AV121">
        <v>58.085450000000002</v>
      </c>
    </row>
    <row r="122" spans="26:48" x14ac:dyDescent="0.25">
      <c r="Z122">
        <v>19</v>
      </c>
      <c r="AA122">
        <f t="shared" si="8"/>
        <v>161</v>
      </c>
      <c r="AD122">
        <v>38.144570000000002</v>
      </c>
      <c r="AJ122">
        <v>19</v>
      </c>
      <c r="AK122">
        <f t="shared" si="9"/>
        <v>161</v>
      </c>
      <c r="AN122">
        <v>3.5192299999999999</v>
      </c>
      <c r="AT122">
        <v>170</v>
      </c>
      <c r="AU122">
        <v>4.0348129999999998</v>
      </c>
      <c r="AV122">
        <v>60.21302</v>
      </c>
    </row>
    <row r="123" spans="26:48" x14ac:dyDescent="0.25">
      <c r="Z123">
        <v>20</v>
      </c>
      <c r="AA123">
        <f t="shared" si="8"/>
        <v>162</v>
      </c>
      <c r="AD123">
        <v>40.79401</v>
      </c>
      <c r="AJ123">
        <v>20</v>
      </c>
      <c r="AK123">
        <f t="shared" si="9"/>
        <v>162</v>
      </c>
      <c r="AN123">
        <v>3.6114890000000002</v>
      </c>
      <c r="AT123">
        <v>171</v>
      </c>
      <c r="AU123">
        <v>4.065239</v>
      </c>
      <c r="AV123">
        <v>62.214060000000003</v>
      </c>
    </row>
    <row r="124" spans="26:48" x14ac:dyDescent="0.25">
      <c r="Z124">
        <v>21</v>
      </c>
      <c r="AA124">
        <f t="shared" si="8"/>
        <v>163</v>
      </c>
      <c r="AD124">
        <v>43.425849999999997</v>
      </c>
      <c r="AJ124">
        <v>21</v>
      </c>
      <c r="AK124">
        <f t="shared" si="9"/>
        <v>163</v>
      </c>
      <c r="AN124">
        <v>3.692383</v>
      </c>
      <c r="AT124">
        <v>172</v>
      </c>
      <c r="AU124">
        <v>4.0944120000000002</v>
      </c>
      <c r="AV124">
        <v>64.074960000000004</v>
      </c>
    </row>
    <row r="125" spans="26:48" x14ac:dyDescent="0.25">
      <c r="Z125">
        <v>22</v>
      </c>
      <c r="AA125">
        <f t="shared" si="8"/>
        <v>164</v>
      </c>
      <c r="AD125">
        <v>46.026519999999998</v>
      </c>
      <c r="AJ125">
        <v>22</v>
      </c>
      <c r="AK125">
        <f t="shared" si="9"/>
        <v>164</v>
      </c>
      <c r="AN125">
        <v>3.763036</v>
      </c>
      <c r="AT125">
        <v>173</v>
      </c>
      <c r="AU125">
        <v>4.1377644313027266</v>
      </c>
      <c r="AV125">
        <v>65.782089999999997</v>
      </c>
    </row>
    <row r="126" spans="26:48" x14ac:dyDescent="0.25">
      <c r="Z126">
        <v>23</v>
      </c>
      <c r="AA126">
        <f t="shared" si="8"/>
        <v>165</v>
      </c>
      <c r="AD126">
        <v>48.582389999999997</v>
      </c>
      <c r="AJ126">
        <v>23</v>
      </c>
      <c r="AK126">
        <f t="shared" si="9"/>
        <v>165</v>
      </c>
      <c r="AN126">
        <v>3.8245719999999999</v>
      </c>
      <c r="AT126">
        <v>174</v>
      </c>
      <c r="AU126">
        <v>4.1811168626054531</v>
      </c>
      <c r="AV126">
        <v>67.321849999999998</v>
      </c>
    </row>
    <row r="127" spans="26:48" x14ac:dyDescent="0.25">
      <c r="Z127">
        <v>24</v>
      </c>
      <c r="AA127">
        <f t="shared" si="8"/>
        <v>166</v>
      </c>
      <c r="AD127">
        <v>51.079839999999997</v>
      </c>
      <c r="AJ127">
        <v>24</v>
      </c>
      <c r="AK127">
        <f t="shared" si="9"/>
        <v>166</v>
      </c>
      <c r="AN127">
        <v>3.8781140000000001</v>
      </c>
      <c r="AT127">
        <v>175</v>
      </c>
      <c r="AU127">
        <v>4.2244692939081796</v>
      </c>
      <c r="AV127">
        <v>68.680599999999998</v>
      </c>
    </row>
    <row r="128" spans="26:48" x14ac:dyDescent="0.25">
      <c r="Z128">
        <v>25</v>
      </c>
      <c r="AA128">
        <f t="shared" si="8"/>
        <v>167</v>
      </c>
      <c r="AD128">
        <v>53.505240000000001</v>
      </c>
      <c r="AJ128">
        <v>25</v>
      </c>
      <c r="AK128">
        <f t="shared" si="9"/>
        <v>167</v>
      </c>
      <c r="AN128">
        <v>3.9247860000000001</v>
      </c>
      <c r="AT128">
        <v>176</v>
      </c>
      <c r="AU128">
        <v>4.2678217252109061</v>
      </c>
      <c r="AV128">
        <v>69.844719999999995</v>
      </c>
    </row>
    <row r="129" spans="26:48" x14ac:dyDescent="0.25">
      <c r="Z129">
        <v>26</v>
      </c>
      <c r="AA129">
        <f t="shared" si="8"/>
        <v>168</v>
      </c>
      <c r="AD129">
        <v>55.844990000000003</v>
      </c>
      <c r="AJ129">
        <v>26</v>
      </c>
      <c r="AK129">
        <f t="shared" si="9"/>
        <v>168</v>
      </c>
      <c r="AN129">
        <v>3.9657100000000001</v>
      </c>
      <c r="AT129">
        <v>177</v>
      </c>
      <c r="AU129">
        <v>4.3111741565136326</v>
      </c>
      <c r="AV129">
        <v>70.800600000000003</v>
      </c>
    </row>
    <row r="130" spans="26:48" x14ac:dyDescent="0.25">
      <c r="Z130">
        <v>27</v>
      </c>
      <c r="AA130">
        <f t="shared" si="8"/>
        <v>169</v>
      </c>
      <c r="AD130">
        <v>58.085450000000002</v>
      </c>
      <c r="AJ130">
        <v>27</v>
      </c>
      <c r="AK130">
        <f t="shared" si="9"/>
        <v>169</v>
      </c>
      <c r="AN130">
        <v>4.0020119999999997</v>
      </c>
      <c r="AT130">
        <v>178</v>
      </c>
      <c r="AU130">
        <v>4.354526587816359</v>
      </c>
      <c r="AV130">
        <v>71.534610000000001</v>
      </c>
    </row>
    <row r="131" spans="26:48" x14ac:dyDescent="0.25">
      <c r="Z131">
        <v>28</v>
      </c>
      <c r="AA131">
        <f t="shared" si="8"/>
        <v>170</v>
      </c>
      <c r="AD131">
        <v>60.21302</v>
      </c>
      <c r="AJ131">
        <v>28</v>
      </c>
      <c r="AK131">
        <f t="shared" si="9"/>
        <v>170</v>
      </c>
      <c r="AN131">
        <v>4.0348129999999998</v>
      </c>
      <c r="AT131">
        <v>179</v>
      </c>
      <c r="AU131">
        <v>4.3978790191190855</v>
      </c>
      <c r="AV131">
        <v>72.033140000000003</v>
      </c>
    </row>
    <row r="132" spans="26:48" x14ac:dyDescent="0.25">
      <c r="Z132">
        <v>29</v>
      </c>
      <c r="AA132">
        <f t="shared" si="8"/>
        <v>171</v>
      </c>
      <c r="AD132">
        <v>62.214060000000003</v>
      </c>
      <c r="AJ132">
        <v>29</v>
      </c>
      <c r="AK132">
        <f t="shared" si="9"/>
        <v>171</v>
      </c>
      <c r="AN132">
        <v>4.065239</v>
      </c>
      <c r="AT132">
        <v>180</v>
      </c>
      <c r="AU132">
        <v>4.441231450421812</v>
      </c>
      <c r="AV132">
        <v>72.282570000000007</v>
      </c>
    </row>
    <row r="133" spans="26:48" x14ac:dyDescent="0.25">
      <c r="Z133">
        <v>30</v>
      </c>
      <c r="AA133">
        <f t="shared" si="8"/>
        <v>172</v>
      </c>
      <c r="AD133">
        <v>64.074960000000004</v>
      </c>
      <c r="AJ133">
        <v>30</v>
      </c>
      <c r="AK133">
        <f t="shared" si="9"/>
        <v>172</v>
      </c>
      <c r="AN133">
        <v>4.0944120000000002</v>
      </c>
      <c r="AT133">
        <v>181</v>
      </c>
      <c r="AU133">
        <v>4.4845838817245385</v>
      </c>
      <c r="AV133">
        <v>72.269260000000003</v>
      </c>
    </row>
    <row r="134" spans="26:48" x14ac:dyDescent="0.25">
      <c r="Z134">
        <v>31</v>
      </c>
      <c r="AA134">
        <f t="shared" si="8"/>
        <v>173</v>
      </c>
      <c r="AD134">
        <v>65.782089999999997</v>
      </c>
      <c r="AJ134">
        <v>31</v>
      </c>
      <c r="AK134">
        <f t="shared" si="9"/>
        <v>173</v>
      </c>
      <c r="AN134">
        <f t="shared" ref="AN134:AN143" si="10">AN133+(+AN$144-AN$133)/11</f>
        <v>4.1377644313027266</v>
      </c>
      <c r="AT134">
        <v>182</v>
      </c>
      <c r="AU134">
        <v>4.527936313027265</v>
      </c>
      <c r="AV134">
        <v>71.979609999999994</v>
      </c>
    </row>
    <row r="135" spans="26:48" x14ac:dyDescent="0.25">
      <c r="Z135">
        <v>32</v>
      </c>
      <c r="AA135">
        <f t="shared" si="8"/>
        <v>174</v>
      </c>
      <c r="AD135">
        <v>67.321849999999998</v>
      </c>
      <c r="AJ135">
        <v>32</v>
      </c>
      <c r="AK135">
        <f t="shared" ref="AK135:AK158" si="11">AJ135+142</f>
        <v>174</v>
      </c>
      <c r="AN135">
        <f t="shared" si="10"/>
        <v>4.1811168626054531</v>
      </c>
      <c r="AT135">
        <v>183</v>
      </c>
      <c r="AU135">
        <v>4.5712887443299897</v>
      </c>
      <c r="AV135">
        <v>71.400000000000006</v>
      </c>
    </row>
    <row r="136" spans="26:48" x14ac:dyDescent="0.25">
      <c r="Z136">
        <v>33</v>
      </c>
      <c r="AA136">
        <f t="shared" si="8"/>
        <v>175</v>
      </c>
      <c r="AD136">
        <v>68.680599999999998</v>
      </c>
      <c r="AJ136">
        <v>33</v>
      </c>
      <c r="AK136">
        <f t="shared" si="11"/>
        <v>175</v>
      </c>
      <c r="AN136">
        <f t="shared" si="10"/>
        <v>4.2244692939081796</v>
      </c>
      <c r="AT136">
        <v>184</v>
      </c>
      <c r="AU136">
        <v>4.5712887443299897</v>
      </c>
      <c r="AV136">
        <v>70.516800000000003</v>
      </c>
    </row>
    <row r="137" spans="26:48" x14ac:dyDescent="0.25">
      <c r="Z137">
        <v>34</v>
      </c>
      <c r="AA137">
        <f t="shared" si="8"/>
        <v>176</v>
      </c>
      <c r="AD137">
        <v>69.844719999999995</v>
      </c>
      <c r="AJ137">
        <v>34</v>
      </c>
      <c r="AK137">
        <f t="shared" si="11"/>
        <v>176</v>
      </c>
      <c r="AN137">
        <f t="shared" si="10"/>
        <v>4.2678217252109061</v>
      </c>
      <c r="AT137">
        <v>185</v>
      </c>
      <c r="AU137">
        <v>4.5712887443299897</v>
      </c>
      <c r="AV137">
        <v>69.316389999999998</v>
      </c>
    </row>
    <row r="138" spans="26:48" x14ac:dyDescent="0.25">
      <c r="Z138">
        <v>35</v>
      </c>
      <c r="AA138">
        <f t="shared" si="8"/>
        <v>177</v>
      </c>
      <c r="AD138">
        <v>70.800600000000003</v>
      </c>
      <c r="AJ138">
        <v>35</v>
      </c>
      <c r="AK138">
        <f t="shared" si="11"/>
        <v>177</v>
      </c>
      <c r="AN138">
        <f t="shared" si="10"/>
        <v>4.3111741565136326</v>
      </c>
      <c r="AT138">
        <v>186</v>
      </c>
      <c r="AU138">
        <v>4.5712887443299897</v>
      </c>
      <c r="AV138">
        <v>67.785160000000005</v>
      </c>
    </row>
    <row r="139" spans="26:48" x14ac:dyDescent="0.25">
      <c r="Z139">
        <v>36</v>
      </c>
      <c r="AA139">
        <f t="shared" si="8"/>
        <v>178</v>
      </c>
      <c r="AD139">
        <v>71.534610000000001</v>
      </c>
      <c r="AJ139">
        <v>36</v>
      </c>
      <c r="AK139">
        <f t="shared" si="11"/>
        <v>178</v>
      </c>
      <c r="AN139">
        <f t="shared" si="10"/>
        <v>4.354526587816359</v>
      </c>
      <c r="AT139">
        <v>187</v>
      </c>
      <c r="AU139">
        <v>4.5712887443299897</v>
      </c>
      <c r="AV139">
        <v>65.909469999999999</v>
      </c>
    </row>
    <row r="140" spans="26:48" x14ac:dyDescent="0.25">
      <c r="Z140">
        <v>37</v>
      </c>
      <c r="AA140">
        <f t="shared" si="8"/>
        <v>179</v>
      </c>
      <c r="AD140">
        <v>72.033140000000003</v>
      </c>
      <c r="AJ140">
        <v>37</v>
      </c>
      <c r="AK140">
        <f t="shared" si="11"/>
        <v>179</v>
      </c>
      <c r="AN140">
        <f t="shared" si="10"/>
        <v>4.3978790191190855</v>
      </c>
      <c r="AT140">
        <v>188</v>
      </c>
      <c r="AU140">
        <v>4.5712887443299897</v>
      </c>
      <c r="AV140">
        <v>63.675719999999998</v>
      </c>
    </row>
    <row r="141" spans="26:48" x14ac:dyDescent="0.25">
      <c r="Z141">
        <v>38</v>
      </c>
      <c r="AA141">
        <f t="shared" si="8"/>
        <v>180</v>
      </c>
      <c r="AD141">
        <v>72.282570000000007</v>
      </c>
      <c r="AJ141">
        <v>38</v>
      </c>
      <c r="AK141">
        <f t="shared" si="11"/>
        <v>180</v>
      </c>
      <c r="AN141">
        <f t="shared" si="10"/>
        <v>4.441231450421812</v>
      </c>
      <c r="AT141">
        <v>189</v>
      </c>
      <c r="AU141">
        <v>4.5712887443299897</v>
      </c>
      <c r="AV141">
        <v>61.070270000000001</v>
      </c>
    </row>
    <row r="142" spans="26:48" x14ac:dyDescent="0.25">
      <c r="Z142">
        <v>39</v>
      </c>
      <c r="AA142">
        <f t="shared" si="8"/>
        <v>181</v>
      </c>
      <c r="AD142">
        <v>72.269260000000003</v>
      </c>
      <c r="AJ142">
        <v>39</v>
      </c>
      <c r="AK142">
        <f t="shared" si="11"/>
        <v>181</v>
      </c>
      <c r="AN142">
        <f t="shared" si="10"/>
        <v>4.4845838817245385</v>
      </c>
      <c r="AT142">
        <v>190</v>
      </c>
      <c r="AU142">
        <v>0</v>
      </c>
      <c r="AV142">
        <v>2.0000300000000002</v>
      </c>
    </row>
    <row r="143" spans="26:48" x14ac:dyDescent="0.25">
      <c r="Z143">
        <v>40</v>
      </c>
      <c r="AA143">
        <f t="shared" si="8"/>
        <v>182</v>
      </c>
      <c r="AD143">
        <v>71.979609999999994</v>
      </c>
      <c r="AJ143">
        <v>40</v>
      </c>
      <c r="AK143">
        <f t="shared" si="11"/>
        <v>182</v>
      </c>
      <c r="AN143">
        <f t="shared" si="10"/>
        <v>4.527936313027265</v>
      </c>
      <c r="AT143">
        <v>191</v>
      </c>
      <c r="AU143">
        <v>0.13300419999999999</v>
      </c>
      <c r="AV143">
        <v>3.7493989999999999</v>
      </c>
    </row>
    <row r="144" spans="26:48" x14ac:dyDescent="0.25">
      <c r="Z144">
        <v>41</v>
      </c>
      <c r="AA144">
        <f t="shared" si="8"/>
        <v>183</v>
      </c>
      <c r="AD144">
        <v>71.400000000000006</v>
      </c>
      <c r="AJ144">
        <v>41</v>
      </c>
      <c r="AK144">
        <f t="shared" si="11"/>
        <v>183</v>
      </c>
      <c r="AN144">
        <f>(+AO154+AO158)/2</f>
        <v>4.5712887443299897</v>
      </c>
      <c r="AT144">
        <v>192</v>
      </c>
      <c r="AU144">
        <v>0.27930090000000002</v>
      </c>
      <c r="AV144">
        <v>5.6313560000000003</v>
      </c>
    </row>
    <row r="145" spans="26:48" x14ac:dyDescent="0.25">
      <c r="Z145">
        <v>42</v>
      </c>
      <c r="AA145">
        <f t="shared" si="8"/>
        <v>184</v>
      </c>
      <c r="AD145">
        <v>70.516800000000003</v>
      </c>
      <c r="AJ145">
        <v>42</v>
      </c>
      <c r="AK145">
        <f t="shared" si="11"/>
        <v>184</v>
      </c>
      <c r="AN145">
        <v>4.5712887443299897</v>
      </c>
      <c r="AT145">
        <v>193</v>
      </c>
      <c r="AU145">
        <v>0.4380116</v>
      </c>
      <c r="AV145">
        <v>7.6326989999999997</v>
      </c>
    </row>
    <row r="146" spans="26:48" x14ac:dyDescent="0.25">
      <c r="Z146">
        <v>43</v>
      </c>
      <c r="AA146">
        <f t="shared" si="8"/>
        <v>185</v>
      </c>
      <c r="AD146">
        <v>69.316389999999998</v>
      </c>
      <c r="AJ146">
        <v>43</v>
      </c>
      <c r="AK146">
        <f t="shared" si="11"/>
        <v>185</v>
      </c>
      <c r="AN146">
        <v>4.5712887443299897</v>
      </c>
      <c r="AT146">
        <v>194</v>
      </c>
      <c r="AU146">
        <v>0.60825680000000004</v>
      </c>
      <c r="AV146">
        <v>9.7402320000000007</v>
      </c>
    </row>
    <row r="147" spans="26:48" x14ac:dyDescent="0.25">
      <c r="Z147">
        <v>44</v>
      </c>
      <c r="AA147">
        <f t="shared" si="8"/>
        <v>186</v>
      </c>
      <c r="AD147">
        <v>67.785160000000005</v>
      </c>
      <c r="AJ147">
        <v>44</v>
      </c>
      <c r="AK147">
        <f t="shared" si="11"/>
        <v>186</v>
      </c>
      <c r="AN147">
        <v>4.5712887443299897</v>
      </c>
      <c r="AT147">
        <v>195</v>
      </c>
      <c r="AU147">
        <v>0.78915690000000005</v>
      </c>
      <c r="AV147">
        <v>11.94075</v>
      </c>
    </row>
    <row r="148" spans="26:48" x14ac:dyDescent="0.25">
      <c r="Z148">
        <v>45</v>
      </c>
      <c r="AA148">
        <f t="shared" si="8"/>
        <v>187</v>
      </c>
      <c r="AD148">
        <v>65.909469999999999</v>
      </c>
      <c r="AJ148">
        <v>45</v>
      </c>
      <c r="AK148">
        <f t="shared" si="11"/>
        <v>187</v>
      </c>
      <c r="AN148">
        <v>4.5712887443299897</v>
      </c>
      <c r="AT148">
        <v>196</v>
      </c>
      <c r="AU148">
        <v>0.9798325</v>
      </c>
      <c r="AV148">
        <v>14.221069999999999</v>
      </c>
    </row>
    <row r="149" spans="26:48" x14ac:dyDescent="0.25">
      <c r="Z149">
        <v>46</v>
      </c>
      <c r="AA149">
        <f t="shared" si="8"/>
        <v>188</v>
      </c>
      <c r="AD149">
        <v>63.675719999999998</v>
      </c>
      <c r="AJ149">
        <v>46</v>
      </c>
      <c r="AK149">
        <f t="shared" si="11"/>
        <v>188</v>
      </c>
      <c r="AN149">
        <v>4.5712887443299897</v>
      </c>
      <c r="AT149">
        <v>197</v>
      </c>
      <c r="AU149">
        <v>1.1794039999999999</v>
      </c>
      <c r="AV149">
        <v>16.567969999999999</v>
      </c>
    </row>
    <row r="150" spans="26:48" x14ac:dyDescent="0.25">
      <c r="Z150">
        <v>47</v>
      </c>
      <c r="AA150">
        <f t="shared" si="8"/>
        <v>189</v>
      </c>
      <c r="AD150">
        <v>61.070270000000001</v>
      </c>
      <c r="AJ150">
        <v>47</v>
      </c>
      <c r="AK150">
        <f t="shared" si="11"/>
        <v>189</v>
      </c>
      <c r="AN150">
        <v>4.5712887443299897</v>
      </c>
      <c r="AT150">
        <v>198</v>
      </c>
      <c r="AU150">
        <v>1.386992</v>
      </c>
      <c r="AV150">
        <v>18.96827</v>
      </c>
    </row>
    <row r="151" spans="26:48" x14ac:dyDescent="0.25">
      <c r="AA151">
        <f>T5+142</f>
        <v>142</v>
      </c>
      <c r="AE151">
        <f t="shared" ref="AE151:AE158" si="12">U5</f>
        <v>2</v>
      </c>
      <c r="AJ151">
        <v>0</v>
      </c>
      <c r="AK151">
        <f t="shared" si="11"/>
        <v>142</v>
      </c>
      <c r="AO151">
        <v>0</v>
      </c>
      <c r="AT151">
        <v>199</v>
      </c>
      <c r="AU151">
        <v>1.6017159999999999</v>
      </c>
      <c r="AV151">
        <v>21.408770000000001</v>
      </c>
    </row>
    <row r="152" spans="26:48" x14ac:dyDescent="0.25">
      <c r="AA152">
        <f>T6+142</f>
        <v>158</v>
      </c>
      <c r="AE152" t="e">
        <f t="shared" si="12"/>
        <v>#REF!</v>
      </c>
      <c r="AJ152">
        <v>16</v>
      </c>
      <c r="AK152">
        <f t="shared" si="11"/>
        <v>158</v>
      </c>
      <c r="AO152">
        <v>3.098860667632648</v>
      </c>
      <c r="AT152">
        <v>200</v>
      </c>
      <c r="AU152">
        <v>1.8226979999999999</v>
      </c>
      <c r="AV152">
        <v>23.876259999999998</v>
      </c>
    </row>
    <row r="153" spans="26:48" x14ac:dyDescent="0.25">
      <c r="AA153">
        <f>T7+142</f>
        <v>172</v>
      </c>
      <c r="AE153" t="e">
        <f t="shared" si="12"/>
        <v>#REF!</v>
      </c>
      <c r="AJ153">
        <v>30</v>
      </c>
      <c r="AK153">
        <f t="shared" si="11"/>
        <v>172</v>
      </c>
      <c r="AO153">
        <v>4.0928237154315434</v>
      </c>
      <c r="AT153">
        <v>201</v>
      </c>
      <c r="AU153">
        <v>2.0490569999999999</v>
      </c>
      <c r="AV153">
        <v>26.35754</v>
      </c>
    </row>
    <row r="154" spans="26:48" x14ac:dyDescent="0.25">
      <c r="AA154">
        <f>T8+142</f>
        <v>183</v>
      </c>
      <c r="AE154" t="e">
        <f t="shared" si="12"/>
        <v>#REF!</v>
      </c>
      <c r="AJ154">
        <v>41</v>
      </c>
      <c r="AK154">
        <f t="shared" si="11"/>
        <v>183</v>
      </c>
      <c r="AO154">
        <v>4.9660619799455628</v>
      </c>
      <c r="AT154">
        <v>202</v>
      </c>
      <c r="AU154">
        <v>2.2799149999999999</v>
      </c>
      <c r="AV154">
        <v>28.83942</v>
      </c>
    </row>
    <row r="155" spans="26:48" x14ac:dyDescent="0.25">
      <c r="AA155">
        <v>142</v>
      </c>
      <c r="AE155">
        <f t="shared" si="12"/>
        <v>2</v>
      </c>
      <c r="AJ155">
        <v>0</v>
      </c>
      <c r="AK155">
        <f t="shared" si="11"/>
        <v>142</v>
      </c>
      <c r="AO155">
        <v>0</v>
      </c>
      <c r="AT155">
        <v>203</v>
      </c>
      <c r="AU155">
        <v>2.514392</v>
      </c>
      <c r="AV155">
        <v>31.308700000000002</v>
      </c>
    </row>
    <row r="156" spans="26:48" x14ac:dyDescent="0.25">
      <c r="AA156">
        <v>158</v>
      </c>
      <c r="AE156" t="e">
        <f t="shared" si="12"/>
        <v>#REF!</v>
      </c>
      <c r="AJ156">
        <v>16</v>
      </c>
      <c r="AK156">
        <f t="shared" si="11"/>
        <v>158</v>
      </c>
      <c r="AO156">
        <v>3.2272061959975078</v>
      </c>
      <c r="AT156">
        <v>204</v>
      </c>
      <c r="AU156">
        <v>2.7516069999999999</v>
      </c>
      <c r="AV156">
        <v>33.752180000000003</v>
      </c>
    </row>
    <row r="157" spans="26:48" x14ac:dyDescent="0.25">
      <c r="AA157">
        <v>172</v>
      </c>
      <c r="AE157" t="e">
        <f t="shared" si="12"/>
        <v>#REF!</v>
      </c>
      <c r="AJ157">
        <v>30</v>
      </c>
      <c r="AK157">
        <f t="shared" si="11"/>
        <v>172</v>
      </c>
      <c r="AO157">
        <v>4.0959888865092138</v>
      </c>
      <c r="AT157">
        <v>205</v>
      </c>
      <c r="AU157">
        <v>2.9901779999999998</v>
      </c>
      <c r="AV157">
        <v>36.156660000000002</v>
      </c>
    </row>
    <row r="158" spans="26:48" x14ac:dyDescent="0.25">
      <c r="AA158">
        <v>183</v>
      </c>
      <c r="AE158" t="e">
        <f t="shared" si="12"/>
        <v>#REF!</v>
      </c>
      <c r="AJ158">
        <v>41</v>
      </c>
      <c r="AK158">
        <f t="shared" si="11"/>
        <v>183</v>
      </c>
      <c r="AO158">
        <v>4.1765155087144166</v>
      </c>
      <c r="AT158">
        <v>206</v>
      </c>
      <c r="AU158">
        <v>3.2272249999999998</v>
      </c>
      <c r="AV158">
        <v>38.509450000000001</v>
      </c>
    </row>
    <row r="159" spans="26:48" x14ac:dyDescent="0.25">
      <c r="Z159">
        <v>0</v>
      </c>
      <c r="AA159">
        <f t="shared" ref="AA159:AA203" si="13">Z159+190</f>
        <v>190</v>
      </c>
      <c r="AF159">
        <v>2.0000300000000002</v>
      </c>
      <c r="AJ159">
        <v>0</v>
      </c>
      <c r="AK159">
        <f t="shared" ref="AK159:AK203" si="14">AJ159+190</f>
        <v>190</v>
      </c>
      <c r="AP159">
        <v>0</v>
      </c>
      <c r="AT159">
        <v>207</v>
      </c>
      <c r="AU159">
        <v>3.4595940000000001</v>
      </c>
      <c r="AV159">
        <v>40.799930000000003</v>
      </c>
    </row>
    <row r="160" spans="26:48" x14ac:dyDescent="0.25">
      <c r="Z160">
        <v>1</v>
      </c>
      <c r="AA160">
        <f t="shared" si="13"/>
        <v>191</v>
      </c>
      <c r="AF160">
        <v>3.7493989999999999</v>
      </c>
      <c r="AJ160">
        <v>1</v>
      </c>
      <c r="AK160">
        <f t="shared" si="14"/>
        <v>191</v>
      </c>
      <c r="AP160">
        <v>0.13300419999999999</v>
      </c>
      <c r="AT160">
        <v>208</v>
      </c>
      <c r="AU160">
        <v>3.684129</v>
      </c>
      <c r="AV160">
        <v>43.017960000000002</v>
      </c>
    </row>
    <row r="161" spans="26:48" x14ac:dyDescent="0.25">
      <c r="Z161">
        <v>2</v>
      </c>
      <c r="AA161">
        <f t="shared" si="13"/>
        <v>192</v>
      </c>
      <c r="AF161">
        <v>5.6313560000000003</v>
      </c>
      <c r="AJ161">
        <v>2</v>
      </c>
      <c r="AK161">
        <f t="shared" si="14"/>
        <v>192</v>
      </c>
      <c r="AP161">
        <v>0.27930090000000002</v>
      </c>
      <c r="AT161">
        <v>209</v>
      </c>
      <c r="AU161">
        <v>3.897675</v>
      </c>
      <c r="AV161">
        <v>45.15343</v>
      </c>
    </row>
    <row r="162" spans="26:48" x14ac:dyDescent="0.25">
      <c r="Z162">
        <v>3</v>
      </c>
      <c r="AA162">
        <f t="shared" si="13"/>
        <v>193</v>
      </c>
      <c r="AF162">
        <v>7.6326989999999997</v>
      </c>
      <c r="AJ162">
        <v>3</v>
      </c>
      <c r="AK162">
        <f t="shared" si="14"/>
        <v>193</v>
      </c>
      <c r="AP162">
        <v>0.4380116</v>
      </c>
      <c r="AT162">
        <v>210</v>
      </c>
      <c r="AU162">
        <v>4.0970769999999996</v>
      </c>
      <c r="AV162">
        <v>47.196219999999997</v>
      </c>
    </row>
    <row r="163" spans="26:48" x14ac:dyDescent="0.25">
      <c r="Z163">
        <v>4</v>
      </c>
      <c r="AA163">
        <f t="shared" si="13"/>
        <v>194</v>
      </c>
      <c r="AF163">
        <v>9.7402320000000007</v>
      </c>
      <c r="AJ163">
        <v>4</v>
      </c>
      <c r="AK163">
        <f t="shared" si="14"/>
        <v>194</v>
      </c>
      <c r="AP163">
        <v>0.60825680000000004</v>
      </c>
      <c r="AT163">
        <v>211</v>
      </c>
      <c r="AU163">
        <v>4.2791800000000002</v>
      </c>
      <c r="AV163">
        <v>49.136200000000002</v>
      </c>
    </row>
    <row r="164" spans="26:48" x14ac:dyDescent="0.25">
      <c r="Z164">
        <v>5</v>
      </c>
      <c r="AA164">
        <f t="shared" si="13"/>
        <v>195</v>
      </c>
      <c r="AF164">
        <v>11.94075</v>
      </c>
      <c r="AJ164">
        <v>5</v>
      </c>
      <c r="AK164">
        <f t="shared" si="14"/>
        <v>195</v>
      </c>
      <c r="AP164">
        <v>0.78915690000000005</v>
      </c>
      <c r="AT164">
        <v>212</v>
      </c>
      <c r="AU164">
        <v>4.4408279999999998</v>
      </c>
      <c r="AV164">
        <v>50.963250000000002</v>
      </c>
    </row>
    <row r="165" spans="26:48" x14ac:dyDescent="0.25">
      <c r="Z165">
        <v>6</v>
      </c>
      <c r="AA165">
        <f t="shared" si="13"/>
        <v>196</v>
      </c>
      <c r="AF165">
        <v>14.221069999999999</v>
      </c>
      <c r="AJ165">
        <v>6</v>
      </c>
      <c r="AK165">
        <f t="shared" si="14"/>
        <v>196</v>
      </c>
      <c r="AP165">
        <v>0.9798325</v>
      </c>
      <c r="AT165">
        <v>213</v>
      </c>
      <c r="AU165">
        <v>4.5788659999999997</v>
      </c>
      <c r="AV165">
        <v>52.667259999999999</v>
      </c>
    </row>
    <row r="166" spans="26:48" x14ac:dyDescent="0.25">
      <c r="Z166">
        <v>7</v>
      </c>
      <c r="AA166">
        <f t="shared" si="13"/>
        <v>197</v>
      </c>
      <c r="AF166">
        <v>16.567969999999999</v>
      </c>
      <c r="AJ166">
        <v>7</v>
      </c>
      <c r="AK166">
        <f t="shared" si="14"/>
        <v>197</v>
      </c>
      <c r="AP166">
        <v>1.1794039999999999</v>
      </c>
      <c r="AT166">
        <v>214</v>
      </c>
      <c r="AU166">
        <v>4.6901380000000001</v>
      </c>
      <c r="AV166">
        <v>54.23809</v>
      </c>
    </row>
    <row r="167" spans="26:48" x14ac:dyDescent="0.25">
      <c r="Z167">
        <v>8</v>
      </c>
      <c r="AA167">
        <f t="shared" si="13"/>
        <v>198</v>
      </c>
      <c r="AF167">
        <v>18.96827</v>
      </c>
      <c r="AJ167">
        <v>8</v>
      </c>
      <c r="AK167">
        <f t="shared" si="14"/>
        <v>198</v>
      </c>
      <c r="AP167">
        <v>1.386992</v>
      </c>
      <c r="AT167">
        <v>215</v>
      </c>
      <c r="AU167">
        <v>4.77149</v>
      </c>
      <c r="AV167">
        <v>55.66563</v>
      </c>
    </row>
    <row r="168" spans="26:48" x14ac:dyDescent="0.25">
      <c r="Z168">
        <v>9</v>
      </c>
      <c r="AA168">
        <f t="shared" si="13"/>
        <v>199</v>
      </c>
      <c r="AF168">
        <v>21.408770000000001</v>
      </c>
      <c r="AJ168">
        <v>9</v>
      </c>
      <c r="AK168">
        <f t="shared" si="14"/>
        <v>199</v>
      </c>
      <c r="AP168">
        <v>1.6017159999999999</v>
      </c>
      <c r="AT168">
        <v>216</v>
      </c>
      <c r="AU168">
        <v>4.8207950000000004</v>
      </c>
      <c r="AV168">
        <v>56.933759999999999</v>
      </c>
    </row>
    <row r="169" spans="26:48" x14ac:dyDescent="0.25">
      <c r="Z169">
        <v>10</v>
      </c>
      <c r="AA169">
        <f t="shared" si="13"/>
        <v>200</v>
      </c>
      <c r="AF169">
        <v>23.876259999999998</v>
      </c>
      <c r="AJ169">
        <v>10</v>
      </c>
      <c r="AK169">
        <f t="shared" si="14"/>
        <v>200</v>
      </c>
      <c r="AP169">
        <v>1.8226979999999999</v>
      </c>
      <c r="AT169">
        <v>217</v>
      </c>
      <c r="AU169">
        <v>4.8400299999999996</v>
      </c>
      <c r="AV169">
        <v>58.002290000000002</v>
      </c>
    </row>
    <row r="170" spans="26:48" x14ac:dyDescent="0.25">
      <c r="Z170">
        <v>11</v>
      </c>
      <c r="AA170">
        <f t="shared" si="13"/>
        <v>201</v>
      </c>
      <c r="AF170">
        <v>26.35754</v>
      </c>
      <c r="AJ170">
        <v>11</v>
      </c>
      <c r="AK170">
        <f t="shared" si="14"/>
        <v>201</v>
      </c>
      <c r="AP170">
        <v>2.0490569999999999</v>
      </c>
      <c r="AT170">
        <v>218</v>
      </c>
      <c r="AU170">
        <v>4.8322019999999997</v>
      </c>
      <c r="AV170">
        <v>58.825040000000001</v>
      </c>
    </row>
    <row r="171" spans="26:48" x14ac:dyDescent="0.25">
      <c r="Z171">
        <v>12</v>
      </c>
      <c r="AA171">
        <f t="shared" si="13"/>
        <v>202</v>
      </c>
      <c r="AF171">
        <v>28.83942</v>
      </c>
      <c r="AJ171">
        <v>12</v>
      </c>
      <c r="AK171">
        <f t="shared" si="14"/>
        <v>202</v>
      </c>
      <c r="AP171">
        <v>2.2799149999999999</v>
      </c>
      <c r="AT171">
        <v>219</v>
      </c>
      <c r="AU171">
        <v>4.8003210000000003</v>
      </c>
      <c r="AV171">
        <v>59.355840000000001</v>
      </c>
    </row>
    <row r="172" spans="26:48" x14ac:dyDescent="0.25">
      <c r="Z172">
        <v>13</v>
      </c>
      <c r="AA172">
        <f t="shared" si="13"/>
        <v>203</v>
      </c>
      <c r="AF172">
        <v>31.308700000000002</v>
      </c>
      <c r="AJ172">
        <v>13</v>
      </c>
      <c r="AK172">
        <f t="shared" si="14"/>
        <v>203</v>
      </c>
      <c r="AP172">
        <v>2.514392</v>
      </c>
      <c r="AT172">
        <v>220</v>
      </c>
      <c r="AU172">
        <v>4.7473910000000004</v>
      </c>
      <c r="AV172">
        <v>59.548499999999997</v>
      </c>
    </row>
    <row r="173" spans="26:48" x14ac:dyDescent="0.25">
      <c r="Z173">
        <v>14</v>
      </c>
      <c r="AA173">
        <f t="shared" si="13"/>
        <v>204</v>
      </c>
      <c r="AF173">
        <v>33.752180000000003</v>
      </c>
      <c r="AJ173">
        <v>14</v>
      </c>
      <c r="AK173">
        <f t="shared" si="14"/>
        <v>204</v>
      </c>
      <c r="AP173">
        <v>2.7516069999999999</v>
      </c>
      <c r="AT173">
        <v>221</v>
      </c>
      <c r="AU173">
        <v>4.6764210000000004</v>
      </c>
      <c r="AV173">
        <v>59.356830000000002</v>
      </c>
    </row>
    <row r="174" spans="26:48" x14ac:dyDescent="0.25">
      <c r="Z174">
        <v>15</v>
      </c>
      <c r="AA174">
        <f t="shared" si="13"/>
        <v>205</v>
      </c>
      <c r="AF174">
        <v>36.156660000000002</v>
      </c>
      <c r="AJ174">
        <v>15</v>
      </c>
      <c r="AK174">
        <f t="shared" si="14"/>
        <v>205</v>
      </c>
      <c r="AP174">
        <v>2.9901779999999998</v>
      </c>
      <c r="AT174">
        <v>222</v>
      </c>
      <c r="AU174">
        <v>4.5904160000000003</v>
      </c>
      <c r="AV174">
        <v>58.734670000000001</v>
      </c>
    </row>
    <row r="175" spans="26:48" x14ac:dyDescent="0.25">
      <c r="Z175">
        <v>16</v>
      </c>
      <c r="AA175">
        <f t="shared" si="13"/>
        <v>206</v>
      </c>
      <c r="AF175">
        <v>38.509450000000001</v>
      </c>
      <c r="AJ175">
        <v>16</v>
      </c>
      <c r="AK175">
        <f t="shared" si="14"/>
        <v>206</v>
      </c>
      <c r="AP175">
        <v>3.2272249999999998</v>
      </c>
      <c r="AT175">
        <v>223</v>
      </c>
      <c r="AU175">
        <v>4.4923840000000004</v>
      </c>
      <c r="AV175">
        <v>57.635829999999999</v>
      </c>
    </row>
    <row r="176" spans="26:48" x14ac:dyDescent="0.25">
      <c r="Z176">
        <v>17</v>
      </c>
      <c r="AA176">
        <f t="shared" si="13"/>
        <v>207</v>
      </c>
      <c r="AF176">
        <v>40.799930000000003</v>
      </c>
      <c r="AJ176">
        <v>17</v>
      </c>
      <c r="AK176">
        <f t="shared" si="14"/>
        <v>207</v>
      </c>
      <c r="AP176">
        <v>3.4595940000000001</v>
      </c>
      <c r="AT176">
        <v>224</v>
      </c>
      <c r="AU176">
        <v>4.3853330000000001</v>
      </c>
      <c r="AV176">
        <v>56.014119999999998</v>
      </c>
    </row>
    <row r="177" spans="26:48" x14ac:dyDescent="0.25">
      <c r="Z177">
        <v>18</v>
      </c>
      <c r="AA177">
        <f t="shared" si="13"/>
        <v>208</v>
      </c>
      <c r="AF177">
        <v>43.017960000000002</v>
      </c>
      <c r="AJ177">
        <v>18</v>
      </c>
      <c r="AK177">
        <f t="shared" si="14"/>
        <v>208</v>
      </c>
      <c r="AP177">
        <v>3.684129</v>
      </c>
      <c r="AT177">
        <v>225</v>
      </c>
      <c r="AU177">
        <v>4.2722680000000004</v>
      </c>
      <c r="AV177">
        <v>53.823369999999997</v>
      </c>
    </row>
    <row r="178" spans="26:48" x14ac:dyDescent="0.25">
      <c r="Z178">
        <v>19</v>
      </c>
      <c r="AA178">
        <f t="shared" si="13"/>
        <v>209</v>
      </c>
      <c r="AF178">
        <v>45.15343</v>
      </c>
      <c r="AJ178">
        <v>19</v>
      </c>
      <c r="AK178">
        <f t="shared" si="14"/>
        <v>209</v>
      </c>
      <c r="AP178">
        <v>3.897675</v>
      </c>
      <c r="AT178">
        <v>226</v>
      </c>
      <c r="AU178">
        <v>4.1561979999999998</v>
      </c>
      <c r="AV178">
        <v>51.017389999999999</v>
      </c>
    </row>
    <row r="179" spans="26:48" x14ac:dyDescent="0.25">
      <c r="Z179">
        <v>20</v>
      </c>
      <c r="AA179">
        <f t="shared" si="13"/>
        <v>210</v>
      </c>
      <c r="AF179">
        <v>47.196219999999997</v>
      </c>
      <c r="AJ179">
        <v>20</v>
      </c>
      <c r="AK179">
        <f t="shared" si="14"/>
        <v>210</v>
      </c>
      <c r="AP179">
        <v>4.0970769999999996</v>
      </c>
      <c r="AT179">
        <v>227</v>
      </c>
      <c r="AU179">
        <v>0</v>
      </c>
      <c r="AV179">
        <v>2</v>
      </c>
    </row>
    <row r="180" spans="26:48" x14ac:dyDescent="0.25">
      <c r="Z180">
        <v>21</v>
      </c>
      <c r="AA180">
        <f t="shared" si="13"/>
        <v>211</v>
      </c>
      <c r="AF180">
        <v>49.136200000000002</v>
      </c>
      <c r="AJ180">
        <v>21</v>
      </c>
      <c r="AK180">
        <f t="shared" si="14"/>
        <v>211</v>
      </c>
      <c r="AP180">
        <v>4.2791800000000002</v>
      </c>
      <c r="AT180">
        <v>228</v>
      </c>
      <c r="AU180">
        <v>0</v>
      </c>
      <c r="AV180">
        <v>2.0000330000000002</v>
      </c>
    </row>
    <row r="181" spans="26:48" x14ac:dyDescent="0.25">
      <c r="Z181">
        <v>22</v>
      </c>
      <c r="AA181">
        <f t="shared" si="13"/>
        <v>212</v>
      </c>
      <c r="AF181">
        <v>50.963250000000002</v>
      </c>
      <c r="AJ181">
        <v>22</v>
      </c>
      <c r="AK181">
        <f t="shared" si="14"/>
        <v>212</v>
      </c>
      <c r="AP181">
        <v>4.4408279999999998</v>
      </c>
      <c r="AT181">
        <v>229</v>
      </c>
      <c r="AU181">
        <v>0.21466640000000001</v>
      </c>
      <c r="AV181">
        <v>4.4522510000000004</v>
      </c>
    </row>
    <row r="182" spans="26:48" x14ac:dyDescent="0.25">
      <c r="Z182">
        <v>23</v>
      </c>
      <c r="AA182">
        <f t="shared" si="13"/>
        <v>213</v>
      </c>
      <c r="AF182">
        <v>52.667259999999999</v>
      </c>
      <c r="AJ182">
        <v>23</v>
      </c>
      <c r="AK182">
        <f t="shared" si="14"/>
        <v>213</v>
      </c>
      <c r="AP182">
        <v>4.5788659999999997</v>
      </c>
      <c r="AT182">
        <v>230</v>
      </c>
      <c r="AU182">
        <v>0.42436459999999998</v>
      </c>
      <c r="AV182">
        <v>6.8708600000000004</v>
      </c>
    </row>
    <row r="183" spans="26:48" x14ac:dyDescent="0.25">
      <c r="Z183">
        <v>24</v>
      </c>
      <c r="AA183">
        <f t="shared" si="13"/>
        <v>214</v>
      </c>
      <c r="AF183">
        <v>54.23809</v>
      </c>
      <c r="AJ183">
        <v>24</v>
      </c>
      <c r="AK183">
        <f t="shared" si="14"/>
        <v>214</v>
      </c>
      <c r="AP183">
        <v>4.6901380000000001</v>
      </c>
      <c r="AT183">
        <v>231</v>
      </c>
      <c r="AU183">
        <v>0.63047059999999999</v>
      </c>
      <c r="AV183">
        <v>9.2472770000000004</v>
      </c>
    </row>
    <row r="184" spans="26:48" x14ac:dyDescent="0.25">
      <c r="Z184">
        <v>25</v>
      </c>
      <c r="AA184">
        <f t="shared" si="13"/>
        <v>215</v>
      </c>
      <c r="AF184">
        <v>55.66563</v>
      </c>
      <c r="AJ184">
        <v>25</v>
      </c>
      <c r="AK184">
        <f t="shared" si="14"/>
        <v>215</v>
      </c>
      <c r="AP184">
        <v>4.77149</v>
      </c>
      <c r="AT184">
        <v>232</v>
      </c>
      <c r="AU184">
        <v>0.8343604</v>
      </c>
      <c r="AV184">
        <v>11.57292</v>
      </c>
    </row>
    <row r="185" spans="26:48" x14ac:dyDescent="0.25">
      <c r="Z185">
        <v>26</v>
      </c>
      <c r="AA185">
        <f t="shared" si="13"/>
        <v>216</v>
      </c>
      <c r="AF185">
        <v>56.933759999999999</v>
      </c>
      <c r="AJ185">
        <v>26</v>
      </c>
      <c r="AK185">
        <f t="shared" si="14"/>
        <v>216</v>
      </c>
      <c r="AP185">
        <v>4.8207950000000004</v>
      </c>
      <c r="AT185">
        <v>233</v>
      </c>
      <c r="AU185">
        <v>1.0374060000000001</v>
      </c>
      <c r="AV185">
        <v>13.839219999999999</v>
      </c>
    </row>
    <row r="186" spans="26:48" x14ac:dyDescent="0.25">
      <c r="Z186">
        <v>27</v>
      </c>
      <c r="AA186">
        <f t="shared" si="13"/>
        <v>217</v>
      </c>
      <c r="AF186">
        <v>58.002290000000002</v>
      </c>
      <c r="AJ186">
        <v>27</v>
      </c>
      <c r="AK186">
        <f t="shared" si="14"/>
        <v>217</v>
      </c>
      <c r="AP186">
        <v>4.8400299999999996</v>
      </c>
      <c r="AT186">
        <v>234</v>
      </c>
      <c r="AU186">
        <v>1.240332</v>
      </c>
      <c r="AV186">
        <v>16.03941</v>
      </c>
    </row>
    <row r="187" spans="26:48" x14ac:dyDescent="0.25">
      <c r="Z187">
        <v>28</v>
      </c>
      <c r="AA187">
        <f t="shared" si="13"/>
        <v>218</v>
      </c>
      <c r="AF187">
        <v>58.825040000000001</v>
      </c>
      <c r="AJ187">
        <v>28</v>
      </c>
      <c r="AK187">
        <f t="shared" si="14"/>
        <v>218</v>
      </c>
      <c r="AP187">
        <v>4.8322019999999997</v>
      </c>
      <c r="AT187">
        <v>235</v>
      </c>
      <c r="AU187">
        <v>1.442415</v>
      </c>
      <c r="AV187">
        <v>18.172139999999999</v>
      </c>
    </row>
    <row r="188" spans="26:48" x14ac:dyDescent="0.25">
      <c r="Z188">
        <v>29</v>
      </c>
      <c r="AA188">
        <f t="shared" si="13"/>
        <v>219</v>
      </c>
      <c r="AF188">
        <v>59.355840000000001</v>
      </c>
      <c r="AJ188">
        <v>29</v>
      </c>
      <c r="AK188">
        <f t="shared" si="14"/>
        <v>219</v>
      </c>
      <c r="AP188">
        <v>4.8003210000000003</v>
      </c>
      <c r="AT188">
        <v>236</v>
      </c>
      <c r="AU188">
        <v>1.6427339999999999</v>
      </c>
      <c r="AV188">
        <v>20.23706</v>
      </c>
    </row>
    <row r="189" spans="26:48" x14ac:dyDescent="0.25">
      <c r="Z189">
        <v>30</v>
      </c>
      <c r="AA189">
        <f t="shared" si="13"/>
        <v>220</v>
      </c>
      <c r="AF189">
        <v>59.548499999999997</v>
      </c>
      <c r="AJ189">
        <v>30</v>
      </c>
      <c r="AK189">
        <f t="shared" si="14"/>
        <v>220</v>
      </c>
      <c r="AP189">
        <v>4.7473910000000004</v>
      </c>
      <c r="AT189">
        <v>237</v>
      </c>
      <c r="AU189">
        <v>1.840371</v>
      </c>
      <c r="AV189">
        <v>22.233809999999998</v>
      </c>
    </row>
    <row r="190" spans="26:48" x14ac:dyDescent="0.25">
      <c r="Z190">
        <v>31</v>
      </c>
      <c r="AA190">
        <f t="shared" si="13"/>
        <v>221</v>
      </c>
      <c r="AF190">
        <v>59.356830000000002</v>
      </c>
      <c r="AJ190">
        <v>31</v>
      </c>
      <c r="AK190">
        <f t="shared" si="14"/>
        <v>221</v>
      </c>
      <c r="AP190">
        <v>4.6764210000000004</v>
      </c>
      <c r="AT190">
        <v>238</v>
      </c>
      <c r="AU190">
        <v>2.0344060000000002</v>
      </c>
      <c r="AV190">
        <v>24.162050000000001</v>
      </c>
    </row>
    <row r="191" spans="26:48" x14ac:dyDescent="0.25">
      <c r="Z191">
        <v>32</v>
      </c>
      <c r="AA191">
        <f t="shared" si="13"/>
        <v>222</v>
      </c>
      <c r="AF191">
        <v>58.734670000000001</v>
      </c>
      <c r="AJ191">
        <v>32</v>
      </c>
      <c r="AK191">
        <f t="shared" si="14"/>
        <v>222</v>
      </c>
      <c r="AP191">
        <v>4.5904160000000003</v>
      </c>
      <c r="AT191">
        <v>239</v>
      </c>
      <c r="AU191">
        <v>2.2239179999999998</v>
      </c>
      <c r="AV191">
        <v>26.021419999999999</v>
      </c>
    </row>
    <row r="192" spans="26:48" x14ac:dyDescent="0.25">
      <c r="Z192">
        <v>33</v>
      </c>
      <c r="AA192">
        <f t="shared" si="13"/>
        <v>223</v>
      </c>
      <c r="AF192">
        <v>57.635829999999999</v>
      </c>
      <c r="AJ192">
        <v>33</v>
      </c>
      <c r="AK192">
        <f t="shared" si="14"/>
        <v>223</v>
      </c>
      <c r="AP192">
        <v>4.4923840000000004</v>
      </c>
      <c r="AT192">
        <v>240</v>
      </c>
      <c r="AU192">
        <v>2.4079899999999999</v>
      </c>
      <c r="AV192">
        <v>27.81157</v>
      </c>
    </row>
    <row r="193" spans="26:48" x14ac:dyDescent="0.25">
      <c r="Z193">
        <v>34</v>
      </c>
      <c r="AA193">
        <f t="shared" si="13"/>
        <v>224</v>
      </c>
      <c r="AF193">
        <v>56.014119999999998</v>
      </c>
      <c r="AJ193">
        <v>34</v>
      </c>
      <c r="AK193">
        <f t="shared" si="14"/>
        <v>224</v>
      </c>
      <c r="AP193">
        <v>4.3853330000000001</v>
      </c>
      <c r="AT193">
        <v>241</v>
      </c>
      <c r="AU193">
        <v>2.5857000000000001</v>
      </c>
      <c r="AV193">
        <v>29.532150000000001</v>
      </c>
    </row>
    <row r="194" spans="26:48" x14ac:dyDescent="0.25">
      <c r="Z194">
        <v>35</v>
      </c>
      <c r="AA194">
        <f t="shared" si="13"/>
        <v>225</v>
      </c>
      <c r="AF194">
        <v>53.823369999999997</v>
      </c>
      <c r="AJ194">
        <v>35</v>
      </c>
      <c r="AK194">
        <f t="shared" si="14"/>
        <v>225</v>
      </c>
      <c r="AP194">
        <v>4.2722680000000004</v>
      </c>
      <c r="AT194">
        <v>242</v>
      </c>
      <c r="AU194">
        <v>2.7561300000000002</v>
      </c>
      <c r="AV194">
        <v>31.18281</v>
      </c>
    </row>
    <row r="195" spans="26:48" x14ac:dyDescent="0.25">
      <c r="Z195">
        <v>36</v>
      </c>
      <c r="AA195">
        <f t="shared" si="13"/>
        <v>226</v>
      </c>
      <c r="AF195">
        <v>51.017389999999999</v>
      </c>
      <c r="AJ195">
        <v>36</v>
      </c>
      <c r="AK195">
        <f t="shared" si="14"/>
        <v>226</v>
      </c>
      <c r="AP195">
        <v>4.1561979999999998</v>
      </c>
      <c r="AT195">
        <v>243</v>
      </c>
      <c r="AU195">
        <v>2.9183590000000001</v>
      </c>
      <c r="AV195">
        <v>32.763190000000002</v>
      </c>
    </row>
    <row r="196" spans="26:48" x14ac:dyDescent="0.25">
      <c r="Z196">
        <v>0</v>
      </c>
      <c r="AA196">
        <f t="shared" si="13"/>
        <v>190</v>
      </c>
      <c r="AG196">
        <v>2</v>
      </c>
      <c r="AJ196">
        <v>0</v>
      </c>
      <c r="AK196">
        <f t="shared" si="14"/>
        <v>190</v>
      </c>
      <c r="AQ196">
        <v>0</v>
      </c>
      <c r="AT196">
        <v>244</v>
      </c>
      <c r="AU196">
        <v>3.071469</v>
      </c>
      <c r="AV196">
        <v>34.272950000000002</v>
      </c>
    </row>
    <row r="197" spans="26:48" x14ac:dyDescent="0.25">
      <c r="Z197">
        <v>17</v>
      </c>
      <c r="AA197">
        <f t="shared" si="13"/>
        <v>207</v>
      </c>
      <c r="AG197">
        <v>40.450000000000003</v>
      </c>
      <c r="AJ197">
        <v>17</v>
      </c>
      <c r="AK197">
        <f t="shared" si="14"/>
        <v>207</v>
      </c>
      <c r="AQ197">
        <v>3.5941074830795863</v>
      </c>
      <c r="AT197">
        <v>245</v>
      </c>
      <c r="AU197">
        <v>3.21454</v>
      </c>
      <c r="AV197">
        <v>35.711730000000003</v>
      </c>
    </row>
    <row r="198" spans="26:48" x14ac:dyDescent="0.25">
      <c r="Z198">
        <v>28</v>
      </c>
      <c r="AA198">
        <f t="shared" si="13"/>
        <v>218</v>
      </c>
      <c r="AG198">
        <v>59.8</v>
      </c>
      <c r="AJ198">
        <v>28</v>
      </c>
      <c r="AK198">
        <f t="shared" si="14"/>
        <v>218</v>
      </c>
      <c r="AQ198">
        <v>4.6871727273505881</v>
      </c>
      <c r="AT198">
        <v>246</v>
      </c>
      <c r="AU198">
        <v>3.3466520000000002</v>
      </c>
      <c r="AV198">
        <v>37.079169999999998</v>
      </c>
    </row>
    <row r="199" spans="26:48" x14ac:dyDescent="0.25">
      <c r="Z199">
        <v>37</v>
      </c>
      <c r="AA199">
        <f t="shared" si="13"/>
        <v>227</v>
      </c>
      <c r="AG199">
        <v>48.45</v>
      </c>
      <c r="AJ199">
        <v>37</v>
      </c>
      <c r="AK199">
        <f t="shared" si="14"/>
        <v>227</v>
      </c>
      <c r="AQ199">
        <v>4.3231498065161915</v>
      </c>
      <c r="AT199">
        <v>247</v>
      </c>
      <c r="AU199">
        <v>3.466885</v>
      </c>
      <c r="AV199">
        <v>38.374940000000002</v>
      </c>
    </row>
    <row r="200" spans="26:48" x14ac:dyDescent="0.25">
      <c r="Z200">
        <v>0</v>
      </c>
      <c r="AA200">
        <f t="shared" si="13"/>
        <v>190</v>
      </c>
      <c r="AG200">
        <v>2</v>
      </c>
      <c r="AJ200">
        <v>0</v>
      </c>
      <c r="AK200">
        <f t="shared" si="14"/>
        <v>190</v>
      </c>
      <c r="AQ200">
        <v>0</v>
      </c>
      <c r="AT200">
        <v>248</v>
      </c>
      <c r="AU200">
        <v>3.5743209999999999</v>
      </c>
      <c r="AV200">
        <v>39.598669999999998</v>
      </c>
    </row>
    <row r="201" spans="26:48" x14ac:dyDescent="0.25">
      <c r="Z201">
        <v>17</v>
      </c>
      <c r="AA201">
        <f t="shared" si="13"/>
        <v>207</v>
      </c>
      <c r="AG201">
        <v>41.15</v>
      </c>
      <c r="AJ201">
        <v>17</v>
      </c>
      <c r="AK201">
        <f t="shared" si="14"/>
        <v>207</v>
      </c>
      <c r="AQ201">
        <v>3.3250848096369863</v>
      </c>
      <c r="AT201">
        <v>249</v>
      </c>
      <c r="AU201">
        <v>3.6682929999999998</v>
      </c>
      <c r="AV201">
        <v>40.750340000000001</v>
      </c>
    </row>
    <row r="202" spans="26:48" x14ac:dyDescent="0.25">
      <c r="Z202">
        <v>28</v>
      </c>
      <c r="AA202">
        <f t="shared" si="13"/>
        <v>218</v>
      </c>
      <c r="AG202">
        <v>57.85</v>
      </c>
      <c r="AJ202">
        <v>28</v>
      </c>
      <c r="AK202">
        <f t="shared" si="14"/>
        <v>218</v>
      </c>
      <c r="AQ202">
        <v>4.9772255572269897</v>
      </c>
      <c r="AT202">
        <v>250</v>
      </c>
      <c r="AU202">
        <v>3.7491590000000001</v>
      </c>
      <c r="AV202">
        <v>41.831760000000003</v>
      </c>
    </row>
    <row r="203" spans="26:48" x14ac:dyDescent="0.25">
      <c r="Z203">
        <v>37</v>
      </c>
      <c r="AA203">
        <f t="shared" si="13"/>
        <v>227</v>
      </c>
      <c r="AG203">
        <v>46.65</v>
      </c>
      <c r="AJ203">
        <v>37</v>
      </c>
      <c r="AK203">
        <f t="shared" si="14"/>
        <v>227</v>
      </c>
      <c r="AQ203">
        <v>3.7571007458158396</v>
      </c>
      <c r="AT203">
        <v>251</v>
      </c>
      <c r="AU203">
        <v>3.8175279999999998</v>
      </c>
      <c r="AV203">
        <v>42.845300000000002</v>
      </c>
    </row>
    <row r="204" spans="26:48" x14ac:dyDescent="0.25">
      <c r="Z204">
        <v>0</v>
      </c>
      <c r="AA204">
        <f t="shared" ref="AA204:AA235" si="15">Z204+228</f>
        <v>228</v>
      </c>
      <c r="AH204">
        <v>2.0000330000000002</v>
      </c>
      <c r="AJ204">
        <v>0</v>
      </c>
      <c r="AK204">
        <f t="shared" ref="AK204:AK235" si="16">AJ204+228</f>
        <v>228</v>
      </c>
      <c r="AR204">
        <v>0</v>
      </c>
      <c r="AT204">
        <v>252</v>
      </c>
      <c r="AU204">
        <v>3.874009</v>
      </c>
      <c r="AV204">
        <v>43.793370000000003</v>
      </c>
    </row>
    <row r="205" spans="26:48" x14ac:dyDescent="0.25">
      <c r="Z205">
        <v>1</v>
      </c>
      <c r="AA205">
        <f t="shared" si="15"/>
        <v>229</v>
      </c>
      <c r="AH205">
        <v>4.4522510000000004</v>
      </c>
      <c r="AJ205">
        <v>1</v>
      </c>
      <c r="AK205">
        <f t="shared" si="16"/>
        <v>229</v>
      </c>
      <c r="AR205">
        <v>0.21466640000000001</v>
      </c>
      <c r="AT205">
        <v>253</v>
      </c>
      <c r="AU205">
        <v>3.9192140000000002</v>
      </c>
      <c r="AV205">
        <v>44.678359999999998</v>
      </c>
    </row>
    <row r="206" spans="26:48" x14ac:dyDescent="0.25">
      <c r="Z206">
        <v>2</v>
      </c>
      <c r="AA206">
        <f t="shared" si="15"/>
        <v>230</v>
      </c>
      <c r="AH206">
        <v>6.8708600000000004</v>
      </c>
      <c r="AJ206">
        <v>2</v>
      </c>
      <c r="AK206">
        <f t="shared" si="16"/>
        <v>230</v>
      </c>
      <c r="AR206">
        <v>0.42436459999999998</v>
      </c>
      <c r="AT206">
        <v>254</v>
      </c>
      <c r="AU206">
        <v>3.9537529999999999</v>
      </c>
      <c r="AV206">
        <v>45.502670000000002</v>
      </c>
    </row>
    <row r="207" spans="26:48" x14ac:dyDescent="0.25">
      <c r="Z207">
        <v>3</v>
      </c>
      <c r="AA207">
        <f t="shared" si="15"/>
        <v>231</v>
      </c>
      <c r="AH207">
        <v>9.2472770000000004</v>
      </c>
      <c r="AJ207">
        <v>3</v>
      </c>
      <c r="AK207">
        <f t="shared" si="16"/>
        <v>231</v>
      </c>
      <c r="AR207">
        <v>0.63047059999999999</v>
      </c>
      <c r="AT207">
        <v>255</v>
      </c>
      <c r="AU207">
        <v>3.9782350000000002</v>
      </c>
      <c r="AV207">
        <v>46.268689999999999</v>
      </c>
    </row>
    <row r="208" spans="26:48" x14ac:dyDescent="0.25">
      <c r="Z208">
        <v>4</v>
      </c>
      <c r="AA208">
        <f t="shared" si="15"/>
        <v>232</v>
      </c>
      <c r="AH208">
        <v>11.57292</v>
      </c>
      <c r="AJ208">
        <v>4</v>
      </c>
      <c r="AK208">
        <f t="shared" si="16"/>
        <v>232</v>
      </c>
      <c r="AR208">
        <v>0.8343604</v>
      </c>
      <c r="AT208">
        <v>256</v>
      </c>
      <c r="AU208">
        <v>3.993271</v>
      </c>
      <c r="AV208">
        <v>46.978819999999999</v>
      </c>
    </row>
    <row r="209" spans="26:48" x14ac:dyDescent="0.25">
      <c r="Z209">
        <v>5</v>
      </c>
      <c r="AA209">
        <f t="shared" si="15"/>
        <v>233</v>
      </c>
      <c r="AH209">
        <v>13.839219999999999</v>
      </c>
      <c r="AJ209">
        <v>5</v>
      </c>
      <c r="AK209">
        <f t="shared" si="16"/>
        <v>233</v>
      </c>
      <c r="AR209">
        <v>1.0374060000000001</v>
      </c>
      <c r="AT209">
        <v>257</v>
      </c>
      <c r="AU209">
        <v>3.9994710000000002</v>
      </c>
      <c r="AV209">
        <v>47.635460000000002</v>
      </c>
    </row>
    <row r="210" spans="26:48" x14ac:dyDescent="0.25">
      <c r="Z210">
        <v>6</v>
      </c>
      <c r="AA210">
        <f t="shared" si="15"/>
        <v>234</v>
      </c>
      <c r="AH210">
        <v>16.03941</v>
      </c>
      <c r="AJ210">
        <v>6</v>
      </c>
      <c r="AK210">
        <f t="shared" si="16"/>
        <v>234</v>
      </c>
      <c r="AR210">
        <v>1.240332</v>
      </c>
      <c r="AT210">
        <v>258</v>
      </c>
      <c r="AU210">
        <v>3.9974460000000001</v>
      </c>
      <c r="AV210">
        <v>48.240989999999996</v>
      </c>
    </row>
    <row r="211" spans="26:48" x14ac:dyDescent="0.25">
      <c r="Z211">
        <v>7</v>
      </c>
      <c r="AA211">
        <f t="shared" si="15"/>
        <v>235</v>
      </c>
      <c r="AH211">
        <v>18.172139999999999</v>
      </c>
      <c r="AJ211">
        <v>7</v>
      </c>
      <c r="AK211">
        <f t="shared" si="16"/>
        <v>235</v>
      </c>
      <c r="AR211">
        <v>1.442415</v>
      </c>
      <c r="AT211">
        <v>259</v>
      </c>
      <c r="AU211">
        <v>3.9878049999999998</v>
      </c>
      <c r="AV211">
        <v>48.797820000000002</v>
      </c>
    </row>
    <row r="212" spans="26:48" x14ac:dyDescent="0.25">
      <c r="Z212">
        <v>8</v>
      </c>
      <c r="AA212">
        <f t="shared" si="15"/>
        <v>236</v>
      </c>
      <c r="AH212">
        <v>20.23706</v>
      </c>
      <c r="AJ212">
        <v>8</v>
      </c>
      <c r="AK212">
        <f t="shared" si="16"/>
        <v>236</v>
      </c>
      <c r="AR212">
        <v>1.6427339999999999</v>
      </c>
      <c r="AT212">
        <v>260</v>
      </c>
      <c r="AU212">
        <v>3.9711590000000001</v>
      </c>
      <c r="AV212">
        <v>49.308349999999997</v>
      </c>
    </row>
    <row r="213" spans="26:48" x14ac:dyDescent="0.25">
      <c r="Z213">
        <v>9</v>
      </c>
      <c r="AA213">
        <f t="shared" si="15"/>
        <v>237</v>
      </c>
      <c r="AH213">
        <v>22.233809999999998</v>
      </c>
      <c r="AJ213">
        <v>9</v>
      </c>
      <c r="AK213">
        <f t="shared" si="16"/>
        <v>237</v>
      </c>
      <c r="AR213">
        <v>1.840371</v>
      </c>
      <c r="AT213">
        <v>261</v>
      </c>
      <c r="AU213">
        <v>3.9481169999999999</v>
      </c>
      <c r="AV213">
        <v>49.77496</v>
      </c>
    </row>
    <row r="214" spans="26:48" x14ac:dyDescent="0.25">
      <c r="Z214">
        <v>10</v>
      </c>
      <c r="AA214">
        <f t="shared" si="15"/>
        <v>238</v>
      </c>
      <c r="AH214">
        <v>24.162050000000001</v>
      </c>
      <c r="AJ214">
        <v>10</v>
      </c>
      <c r="AK214">
        <f t="shared" si="16"/>
        <v>238</v>
      </c>
      <c r="AR214">
        <v>2.0344060000000002</v>
      </c>
      <c r="AT214">
        <v>262</v>
      </c>
      <c r="AU214">
        <v>3.9192909999999999</v>
      </c>
      <c r="AV214">
        <v>50.200060000000001</v>
      </c>
    </row>
    <row r="215" spans="26:48" x14ac:dyDescent="0.25">
      <c r="Z215">
        <v>11</v>
      </c>
      <c r="AA215">
        <f t="shared" si="15"/>
        <v>239</v>
      </c>
      <c r="AH215">
        <v>26.021419999999999</v>
      </c>
      <c r="AJ215">
        <v>11</v>
      </c>
      <c r="AK215">
        <f t="shared" si="16"/>
        <v>239</v>
      </c>
      <c r="AR215">
        <v>2.2239179999999998</v>
      </c>
      <c r="AT215">
        <v>263</v>
      </c>
      <c r="AU215">
        <v>3.8852899999999999</v>
      </c>
      <c r="AV215">
        <v>50.586030000000001</v>
      </c>
    </row>
    <row r="216" spans="26:48" x14ac:dyDescent="0.25">
      <c r="Z216">
        <v>12</v>
      </c>
      <c r="AA216">
        <f t="shared" si="15"/>
        <v>240</v>
      </c>
      <c r="AH216">
        <v>27.81157</v>
      </c>
      <c r="AJ216">
        <v>12</v>
      </c>
      <c r="AK216">
        <f t="shared" si="16"/>
        <v>240</v>
      </c>
      <c r="AR216">
        <v>2.4079899999999999</v>
      </c>
      <c r="AT216">
        <v>264</v>
      </c>
      <c r="AU216">
        <v>3.8467250000000002</v>
      </c>
      <c r="AV216">
        <v>50.935279999999999</v>
      </c>
    </row>
    <row r="217" spans="26:48" x14ac:dyDescent="0.25">
      <c r="Z217">
        <v>13</v>
      </c>
      <c r="AA217">
        <f t="shared" si="15"/>
        <v>241</v>
      </c>
      <c r="AH217">
        <v>29.532150000000001</v>
      </c>
      <c r="AJ217">
        <v>13</v>
      </c>
      <c r="AK217">
        <f t="shared" si="16"/>
        <v>241</v>
      </c>
      <c r="AR217">
        <v>2.5857000000000001</v>
      </c>
      <c r="AT217">
        <v>265</v>
      </c>
      <c r="AU217">
        <v>3.8042050000000001</v>
      </c>
      <c r="AV217">
        <v>51.2502</v>
      </c>
    </row>
    <row r="218" spans="26:48" x14ac:dyDescent="0.25">
      <c r="Z218">
        <v>14</v>
      </c>
      <c r="AA218">
        <f t="shared" si="15"/>
        <v>242</v>
      </c>
      <c r="AH218">
        <v>31.18281</v>
      </c>
      <c r="AJ218">
        <v>14</v>
      </c>
      <c r="AK218">
        <f t="shared" si="16"/>
        <v>242</v>
      </c>
      <c r="AR218">
        <v>2.7561300000000002</v>
      </c>
      <c r="AT218">
        <v>266</v>
      </c>
      <c r="AU218">
        <v>3.7583410000000002</v>
      </c>
      <c r="AV218">
        <v>51.533180000000002</v>
      </c>
    </row>
    <row r="219" spans="26:48" x14ac:dyDescent="0.25">
      <c r="Z219">
        <v>15</v>
      </c>
      <c r="AA219">
        <f t="shared" si="15"/>
        <v>243</v>
      </c>
      <c r="AH219">
        <v>32.763190000000002</v>
      </c>
      <c r="AJ219">
        <v>15</v>
      </c>
      <c r="AK219">
        <f t="shared" si="16"/>
        <v>243</v>
      </c>
      <c r="AR219">
        <v>2.9183590000000001</v>
      </c>
      <c r="AT219">
        <v>267</v>
      </c>
      <c r="AU219">
        <v>3.709743</v>
      </c>
      <c r="AV219">
        <v>51.786630000000002</v>
      </c>
    </row>
    <row r="220" spans="26:48" x14ac:dyDescent="0.25">
      <c r="Z220">
        <v>16</v>
      </c>
      <c r="AA220">
        <f t="shared" si="15"/>
        <v>244</v>
      </c>
      <c r="AH220">
        <v>34.272950000000002</v>
      </c>
      <c r="AJ220">
        <v>16</v>
      </c>
      <c r="AK220">
        <f t="shared" si="16"/>
        <v>244</v>
      </c>
      <c r="AR220">
        <v>3.071469</v>
      </c>
      <c r="AT220">
        <v>268</v>
      </c>
      <c r="AU220">
        <v>3.6590220000000002</v>
      </c>
      <c r="AV220">
        <v>52.01294</v>
      </c>
    </row>
    <row r="221" spans="26:48" x14ac:dyDescent="0.25">
      <c r="Z221">
        <v>17</v>
      </c>
      <c r="AA221">
        <f t="shared" si="15"/>
        <v>245</v>
      </c>
      <c r="AH221">
        <v>35.711730000000003</v>
      </c>
      <c r="AJ221">
        <v>17</v>
      </c>
      <c r="AK221">
        <f t="shared" si="16"/>
        <v>245</v>
      </c>
      <c r="AR221">
        <v>3.21454</v>
      </c>
      <c r="AT221">
        <v>269</v>
      </c>
      <c r="AU221">
        <v>3.6067879999999999</v>
      </c>
      <c r="AV221">
        <v>52.214500000000001</v>
      </c>
    </row>
    <row r="222" spans="26:48" x14ac:dyDescent="0.25">
      <c r="Z222">
        <v>18</v>
      </c>
      <c r="AA222">
        <f t="shared" si="15"/>
        <v>246</v>
      </c>
      <c r="AH222">
        <v>37.079169999999998</v>
      </c>
      <c r="AJ222">
        <v>18</v>
      </c>
      <c r="AK222">
        <f t="shared" si="16"/>
        <v>246</v>
      </c>
      <c r="AR222">
        <v>3.3466520000000002</v>
      </c>
      <c r="AT222">
        <v>270</v>
      </c>
      <c r="AU222">
        <v>3.5536500000000002</v>
      </c>
      <c r="AV222">
        <v>52.393700000000003</v>
      </c>
    </row>
    <row r="223" spans="26:48" x14ac:dyDescent="0.25">
      <c r="Z223">
        <v>19</v>
      </c>
      <c r="AA223">
        <f t="shared" si="15"/>
        <v>247</v>
      </c>
      <c r="AH223">
        <v>38.374940000000002</v>
      </c>
      <c r="AJ223">
        <v>19</v>
      </c>
      <c r="AK223">
        <f t="shared" si="16"/>
        <v>247</v>
      </c>
      <c r="AR223">
        <v>3.466885</v>
      </c>
      <c r="AT223">
        <v>271</v>
      </c>
      <c r="AU223">
        <v>3.500219</v>
      </c>
      <c r="AV223">
        <v>52.552959999999999</v>
      </c>
    </row>
    <row r="224" spans="26:48" x14ac:dyDescent="0.25">
      <c r="Z224">
        <v>20</v>
      </c>
      <c r="AA224">
        <f t="shared" si="15"/>
        <v>248</v>
      </c>
      <c r="AH224">
        <v>39.598669999999998</v>
      </c>
      <c r="AJ224">
        <v>20</v>
      </c>
      <c r="AK224">
        <f t="shared" si="16"/>
        <v>248</v>
      </c>
      <c r="AR224">
        <v>3.5743209999999999</v>
      </c>
      <c r="AT224">
        <v>272</v>
      </c>
      <c r="AU224">
        <v>3.4471050000000001</v>
      </c>
      <c r="AV224">
        <v>52.694650000000003</v>
      </c>
    </row>
    <row r="225" spans="26:63" x14ac:dyDescent="0.25">
      <c r="Z225">
        <v>21</v>
      </c>
      <c r="AA225">
        <f t="shared" si="15"/>
        <v>249</v>
      </c>
      <c r="AH225">
        <v>40.750340000000001</v>
      </c>
      <c r="AJ225">
        <v>21</v>
      </c>
      <c r="AK225">
        <f t="shared" si="16"/>
        <v>249</v>
      </c>
      <c r="AR225">
        <v>3.6682929999999998</v>
      </c>
      <c r="AT225">
        <v>273</v>
      </c>
      <c r="AU225">
        <v>3.3949180000000001</v>
      </c>
      <c r="AV225">
        <v>52.821179999999998</v>
      </c>
    </row>
    <row r="226" spans="26:63" x14ac:dyDescent="0.25">
      <c r="Z226">
        <v>22</v>
      </c>
      <c r="AA226">
        <f t="shared" si="15"/>
        <v>250</v>
      </c>
      <c r="AH226">
        <v>41.831760000000003</v>
      </c>
      <c r="AJ226">
        <v>22</v>
      </c>
      <c r="AK226">
        <f t="shared" si="16"/>
        <v>250</v>
      </c>
      <c r="AR226">
        <v>3.7491590000000001</v>
      </c>
      <c r="AT226">
        <v>274</v>
      </c>
      <c r="AU226">
        <v>3.3442690000000002</v>
      </c>
      <c r="AV226">
        <v>52.934939999999997</v>
      </c>
    </row>
    <row r="227" spans="26:63" x14ac:dyDescent="0.25">
      <c r="Z227">
        <v>23</v>
      </c>
      <c r="AA227">
        <f t="shared" si="15"/>
        <v>251</v>
      </c>
      <c r="AH227">
        <v>42.845300000000002</v>
      </c>
      <c r="AJ227">
        <v>23</v>
      </c>
      <c r="AK227">
        <f t="shared" si="16"/>
        <v>251</v>
      </c>
      <c r="AR227">
        <v>3.8175279999999998</v>
      </c>
      <c r="AT227">
        <v>275</v>
      </c>
      <c r="AU227">
        <v>3.2957679999999998</v>
      </c>
      <c r="AV227">
        <v>53.038330000000002</v>
      </c>
    </row>
    <row r="228" spans="26:63" x14ac:dyDescent="0.25">
      <c r="Z228">
        <v>24</v>
      </c>
      <c r="AA228">
        <f t="shared" si="15"/>
        <v>252</v>
      </c>
      <c r="AH228">
        <v>43.793370000000003</v>
      </c>
      <c r="AJ228">
        <v>24</v>
      </c>
      <c r="AK228">
        <f t="shared" si="16"/>
        <v>252</v>
      </c>
      <c r="AR228">
        <v>3.874009</v>
      </c>
      <c r="AT228">
        <v>276</v>
      </c>
      <c r="AU228">
        <v>3.2500249999999999</v>
      </c>
      <c r="AV228">
        <v>53.133740000000003</v>
      </c>
    </row>
    <row r="229" spans="26:63" x14ac:dyDescent="0.25">
      <c r="Z229">
        <v>25</v>
      </c>
      <c r="AA229">
        <f t="shared" si="15"/>
        <v>253</v>
      </c>
      <c r="AH229">
        <v>44.678359999999998</v>
      </c>
      <c r="AJ229">
        <v>25</v>
      </c>
      <c r="AK229">
        <f t="shared" si="16"/>
        <v>253</v>
      </c>
      <c r="AR229">
        <v>3.9192140000000002</v>
      </c>
      <c r="AT229">
        <v>277</v>
      </c>
      <c r="AU229">
        <v>3.207649</v>
      </c>
      <c r="AV229">
        <v>53.223570000000002</v>
      </c>
    </row>
    <row r="230" spans="26:63" x14ac:dyDescent="0.25">
      <c r="Z230">
        <v>26</v>
      </c>
      <c r="AA230">
        <f t="shared" si="15"/>
        <v>254</v>
      </c>
      <c r="AH230">
        <v>45.502670000000002</v>
      </c>
      <c r="AJ230">
        <v>26</v>
      </c>
      <c r="AK230">
        <f t="shared" si="16"/>
        <v>254</v>
      </c>
      <c r="AR230">
        <v>3.9537529999999999</v>
      </c>
      <c r="AT230">
        <v>278</v>
      </c>
      <c r="AU230">
        <v>3.1692529999999999</v>
      </c>
      <c r="AV230">
        <v>53.310209999999998</v>
      </c>
    </row>
    <row r="231" spans="26:63" x14ac:dyDescent="0.25">
      <c r="Z231">
        <v>27</v>
      </c>
      <c r="AA231">
        <f t="shared" si="15"/>
        <v>255</v>
      </c>
      <c r="AH231">
        <v>46.268689999999999</v>
      </c>
      <c r="AJ231">
        <v>27</v>
      </c>
      <c r="AK231">
        <f t="shared" si="16"/>
        <v>255</v>
      </c>
      <c r="AR231">
        <v>3.9782350000000002</v>
      </c>
      <c r="AT231">
        <v>279</v>
      </c>
      <c r="AU231">
        <v>3.1354440000000001</v>
      </c>
      <c r="AV231">
        <v>53.396070000000002</v>
      </c>
    </row>
    <row r="232" spans="26:63" x14ac:dyDescent="0.25">
      <c r="Z232">
        <v>28</v>
      </c>
      <c r="AA232">
        <f t="shared" si="15"/>
        <v>256</v>
      </c>
      <c r="AH232">
        <v>46.978819999999999</v>
      </c>
      <c r="AJ232">
        <v>28</v>
      </c>
      <c r="AK232">
        <f t="shared" si="16"/>
        <v>256</v>
      </c>
      <c r="AR232">
        <v>3.993271</v>
      </c>
      <c r="AT232">
        <v>280</v>
      </c>
      <c r="AU232">
        <v>3.1068349999999998</v>
      </c>
      <c r="AV232">
        <v>53.483530000000002</v>
      </c>
    </row>
    <row r="233" spans="26:63" x14ac:dyDescent="0.25">
      <c r="Z233">
        <v>29</v>
      </c>
      <c r="AA233">
        <f t="shared" si="15"/>
        <v>257</v>
      </c>
      <c r="AH233">
        <v>47.635460000000002</v>
      </c>
      <c r="AJ233">
        <v>29</v>
      </c>
      <c r="AK233">
        <f t="shared" si="16"/>
        <v>257</v>
      </c>
      <c r="AR233">
        <v>3.9994710000000002</v>
      </c>
      <c r="AT233">
        <v>281</v>
      </c>
      <c r="AU233">
        <v>3.0840350000000001</v>
      </c>
      <c r="AV233">
        <v>53.575000000000003</v>
      </c>
    </row>
    <row r="234" spans="26:63" x14ac:dyDescent="0.25">
      <c r="Z234">
        <v>30</v>
      </c>
      <c r="AA234">
        <f t="shared" si="15"/>
        <v>258</v>
      </c>
      <c r="AH234">
        <v>48.240989999999996</v>
      </c>
      <c r="AJ234">
        <v>30</v>
      </c>
      <c r="AK234">
        <f t="shared" si="16"/>
        <v>258</v>
      </c>
      <c r="AR234">
        <v>3.9974460000000001</v>
      </c>
      <c r="AT234">
        <v>282</v>
      </c>
      <c r="AU234">
        <v>3.0840350000000001</v>
      </c>
      <c r="AV234">
        <v>53.67286</v>
      </c>
    </row>
    <row r="235" spans="26:63" x14ac:dyDescent="0.25">
      <c r="Z235">
        <v>31</v>
      </c>
      <c r="AA235">
        <f t="shared" si="15"/>
        <v>259</v>
      </c>
      <c r="AH235">
        <v>48.797820000000002</v>
      </c>
      <c r="AJ235">
        <v>31</v>
      </c>
      <c r="AK235">
        <f t="shared" si="16"/>
        <v>259</v>
      </c>
      <c r="AR235">
        <v>3.9878049999999998</v>
      </c>
      <c r="AT235">
        <v>283</v>
      </c>
      <c r="AU235">
        <v>3.0840350000000001</v>
      </c>
      <c r="AV235">
        <v>53.779510000000002</v>
      </c>
    </row>
    <row r="236" spans="26:63" x14ac:dyDescent="0.25">
      <c r="Z236">
        <v>32</v>
      </c>
      <c r="AA236">
        <f t="shared" ref="AA236:AA267" si="17">Z236+228</f>
        <v>260</v>
      </c>
      <c r="AH236">
        <v>49.308349999999997</v>
      </c>
      <c r="AJ236">
        <v>32</v>
      </c>
      <c r="AK236">
        <f t="shared" ref="AK236:AK267" si="18">AJ236+228</f>
        <v>260</v>
      </c>
      <c r="AR236">
        <v>3.9711590000000001</v>
      </c>
      <c r="AT236">
        <v>284</v>
      </c>
      <c r="AU236">
        <v>3.0840350000000001</v>
      </c>
      <c r="AV236">
        <v>53.897359999999999</v>
      </c>
    </row>
    <row r="237" spans="26:63" x14ac:dyDescent="0.25">
      <c r="Z237">
        <v>33</v>
      </c>
      <c r="AA237">
        <f t="shared" si="17"/>
        <v>261</v>
      </c>
      <c r="AH237">
        <v>49.77496</v>
      </c>
      <c r="AJ237">
        <v>33</v>
      </c>
      <c r="AK237">
        <f t="shared" si="18"/>
        <v>261</v>
      </c>
      <c r="AR237">
        <v>3.9481169999999999</v>
      </c>
      <c r="AT237">
        <v>285</v>
      </c>
      <c r="AU237">
        <v>3.0840350000000001</v>
      </c>
      <c r="AV237">
        <v>54.028790000000001</v>
      </c>
    </row>
    <row r="238" spans="26:63" x14ac:dyDescent="0.25">
      <c r="Z238">
        <v>34</v>
      </c>
      <c r="AA238">
        <f t="shared" si="17"/>
        <v>262</v>
      </c>
      <c r="AH238">
        <v>50.200060000000001</v>
      </c>
      <c r="AJ238">
        <v>34</v>
      </c>
      <c r="AK238">
        <f t="shared" si="18"/>
        <v>262</v>
      </c>
      <c r="AR238">
        <v>3.9192909999999999</v>
      </c>
      <c r="AT238">
        <v>286</v>
      </c>
      <c r="AU238">
        <v>3.0840350000000001</v>
      </c>
      <c r="AV238">
        <v>54.176200000000001</v>
      </c>
      <c r="BB238" t="s">
        <v>11</v>
      </c>
    </row>
    <row r="239" spans="26:63" x14ac:dyDescent="0.25">
      <c r="Z239">
        <v>35</v>
      </c>
      <c r="AA239">
        <f t="shared" si="17"/>
        <v>263</v>
      </c>
      <c r="AH239">
        <v>50.586030000000001</v>
      </c>
      <c r="AJ239">
        <v>35</v>
      </c>
      <c r="AK239">
        <f t="shared" si="18"/>
        <v>263</v>
      </c>
      <c r="AR239">
        <v>3.8852899999999999</v>
      </c>
      <c r="AT239">
        <v>287</v>
      </c>
      <c r="AU239">
        <v>3.0840350000000001</v>
      </c>
      <c r="AV239">
        <v>54.34198</v>
      </c>
      <c r="BC239" t="s">
        <v>14</v>
      </c>
      <c r="BD239" t="s">
        <v>15</v>
      </c>
      <c r="BE239" t="s">
        <v>16</v>
      </c>
      <c r="BF239" t="s">
        <v>17</v>
      </c>
      <c r="BG239" t="s">
        <v>30</v>
      </c>
      <c r="BH239" t="s">
        <v>31</v>
      </c>
      <c r="BI239" t="s">
        <v>32</v>
      </c>
      <c r="BJ239" t="s">
        <v>33</v>
      </c>
      <c r="BK239" t="s">
        <v>6</v>
      </c>
    </row>
    <row r="240" spans="26:63" x14ac:dyDescent="0.25">
      <c r="Z240">
        <v>36</v>
      </c>
      <c r="AA240">
        <f t="shared" si="17"/>
        <v>264</v>
      </c>
      <c r="AH240">
        <v>50.935279999999999</v>
      </c>
      <c r="AJ240">
        <v>36</v>
      </c>
      <c r="AK240">
        <f t="shared" si="18"/>
        <v>264</v>
      </c>
      <c r="AR240">
        <v>3.8467250000000002</v>
      </c>
      <c r="AT240">
        <v>53</v>
      </c>
      <c r="AW240">
        <v>2</v>
      </c>
      <c r="AX240">
        <v>0</v>
      </c>
      <c r="AY240">
        <v>2</v>
      </c>
      <c r="AZ240">
        <v>0</v>
      </c>
      <c r="BB240">
        <v>2</v>
      </c>
      <c r="BC240">
        <v>0</v>
      </c>
    </row>
    <row r="241" spans="26:58" x14ac:dyDescent="0.25">
      <c r="Z241">
        <v>37</v>
      </c>
      <c r="AA241">
        <f t="shared" si="17"/>
        <v>265</v>
      </c>
      <c r="AH241">
        <v>51.2502</v>
      </c>
      <c r="AJ241">
        <v>37</v>
      </c>
      <c r="AK241">
        <f t="shared" si="18"/>
        <v>265</v>
      </c>
      <c r="AR241">
        <v>3.8042050000000001</v>
      </c>
      <c r="AT241">
        <v>108</v>
      </c>
      <c r="AW241">
        <v>20.399999999999999</v>
      </c>
      <c r="AX241">
        <v>3.9434997869483848</v>
      </c>
      <c r="AY241">
        <v>20.95</v>
      </c>
      <c r="AZ241">
        <v>4.0417157153963652</v>
      </c>
      <c r="BB241">
        <v>20.399999999999999</v>
      </c>
      <c r="BC241">
        <v>3.9434997869483848</v>
      </c>
    </row>
    <row r="242" spans="26:58" x14ac:dyDescent="0.25">
      <c r="Z242">
        <v>38</v>
      </c>
      <c r="AA242">
        <f t="shared" si="17"/>
        <v>266</v>
      </c>
      <c r="AH242">
        <v>51.533180000000002</v>
      </c>
      <c r="AJ242">
        <v>38</v>
      </c>
      <c r="AK242">
        <f t="shared" si="18"/>
        <v>266</v>
      </c>
      <c r="AR242">
        <v>3.7583410000000002</v>
      </c>
      <c r="AT242">
        <v>122</v>
      </c>
      <c r="AW242">
        <v>37.549999999999997</v>
      </c>
      <c r="AX242">
        <v>6.4031237112534996</v>
      </c>
      <c r="AY242">
        <v>39.450000000000003</v>
      </c>
      <c r="AZ242">
        <v>6.0608181977655224</v>
      </c>
      <c r="BB242">
        <v>37.549999999999997</v>
      </c>
      <c r="BC242">
        <v>6.4031237112534996</v>
      </c>
    </row>
    <row r="243" spans="26:58" x14ac:dyDescent="0.25">
      <c r="Z243">
        <v>39</v>
      </c>
      <c r="AA243">
        <f t="shared" si="17"/>
        <v>267</v>
      </c>
      <c r="AH243">
        <v>51.786630000000002</v>
      </c>
      <c r="AJ243">
        <v>39</v>
      </c>
      <c r="AK243">
        <f t="shared" si="18"/>
        <v>267</v>
      </c>
      <c r="AR243">
        <v>3.709743</v>
      </c>
      <c r="AT243">
        <v>141</v>
      </c>
      <c r="AW243">
        <v>63.95</v>
      </c>
      <c r="AX243">
        <v>6.436128420051114</v>
      </c>
      <c r="AY243">
        <v>65</v>
      </c>
      <c r="AZ243">
        <v>7.4357377137459935</v>
      </c>
      <c r="BB243">
        <v>63.95</v>
      </c>
      <c r="BC243">
        <v>6.436128420051114</v>
      </c>
    </row>
    <row r="244" spans="26:58" x14ac:dyDescent="0.25">
      <c r="Z244">
        <v>40</v>
      </c>
      <c r="AA244">
        <f t="shared" si="17"/>
        <v>268</v>
      </c>
      <c r="AH244">
        <v>52.01294</v>
      </c>
      <c r="AJ244">
        <v>40</v>
      </c>
      <c r="AK244">
        <f t="shared" si="18"/>
        <v>268</v>
      </c>
      <c r="AR244">
        <v>3.6590220000000002</v>
      </c>
      <c r="AT244">
        <v>142</v>
      </c>
      <c r="AW244">
        <v>51</v>
      </c>
      <c r="AX244">
        <v>7.3661152244540533</v>
      </c>
      <c r="AY244">
        <v>54</v>
      </c>
      <c r="AZ244">
        <v>6.1540772921217828</v>
      </c>
      <c r="BB244">
        <v>51</v>
      </c>
      <c r="BC244">
        <v>7.3661152244540533</v>
      </c>
    </row>
    <row r="245" spans="26:58" x14ac:dyDescent="0.25">
      <c r="Z245">
        <v>41</v>
      </c>
      <c r="AA245">
        <f t="shared" si="17"/>
        <v>269</v>
      </c>
      <c r="AH245">
        <v>52.214500000000001</v>
      </c>
      <c r="AJ245">
        <v>41</v>
      </c>
      <c r="AK245">
        <f t="shared" si="18"/>
        <v>269</v>
      </c>
      <c r="AR245">
        <v>3.6067879999999999</v>
      </c>
      <c r="AT245">
        <v>142</v>
      </c>
      <c r="AW245">
        <v>2</v>
      </c>
      <c r="AX245">
        <v>0</v>
      </c>
      <c r="AY245">
        <v>2</v>
      </c>
      <c r="AZ245">
        <v>0</v>
      </c>
      <c r="BB245">
        <v>2</v>
      </c>
      <c r="BD245">
        <v>0</v>
      </c>
    </row>
    <row r="246" spans="26:58" x14ac:dyDescent="0.25">
      <c r="Z246">
        <v>42</v>
      </c>
      <c r="AA246">
        <f t="shared" si="17"/>
        <v>270</v>
      </c>
      <c r="AH246">
        <v>52.393700000000003</v>
      </c>
      <c r="AJ246">
        <v>42</v>
      </c>
      <c r="AK246">
        <f t="shared" si="18"/>
        <v>270</v>
      </c>
      <c r="AR246">
        <v>3.5536500000000002</v>
      </c>
      <c r="AT246">
        <v>158</v>
      </c>
      <c r="AW246">
        <v>28.15</v>
      </c>
      <c r="AX246">
        <v>3.098860667632648</v>
      </c>
      <c r="AY246">
        <v>32.299999999999997</v>
      </c>
      <c r="AZ246">
        <v>3.2272061959975078</v>
      </c>
      <c r="BB246">
        <v>28.15</v>
      </c>
      <c r="BD246">
        <v>3.098860667632648</v>
      </c>
    </row>
    <row r="247" spans="26:58" x14ac:dyDescent="0.25">
      <c r="Z247">
        <v>43</v>
      </c>
      <c r="AA247">
        <f t="shared" si="17"/>
        <v>271</v>
      </c>
      <c r="AH247">
        <v>52.552959999999999</v>
      </c>
      <c r="AJ247">
        <v>43</v>
      </c>
      <c r="AK247">
        <f t="shared" si="18"/>
        <v>271</v>
      </c>
      <c r="AR247">
        <v>3.500219</v>
      </c>
      <c r="AT247">
        <v>172</v>
      </c>
      <c r="AW247">
        <v>64.099999999999994</v>
      </c>
      <c r="AX247">
        <v>4.0928237154315434</v>
      </c>
      <c r="AY247">
        <v>64.05</v>
      </c>
      <c r="AZ247">
        <v>4.0959888865092138</v>
      </c>
      <c r="BB247">
        <v>64.099999999999994</v>
      </c>
      <c r="BD247">
        <v>4.0928237154315434</v>
      </c>
    </row>
    <row r="248" spans="26:58" x14ac:dyDescent="0.25">
      <c r="Z248">
        <v>44</v>
      </c>
      <c r="AA248">
        <f t="shared" si="17"/>
        <v>272</v>
      </c>
      <c r="AH248">
        <v>52.694650000000003</v>
      </c>
      <c r="AJ248">
        <v>44</v>
      </c>
      <c r="AK248">
        <f t="shared" si="18"/>
        <v>272</v>
      </c>
      <c r="AR248">
        <v>3.4471050000000001</v>
      </c>
      <c r="AT248">
        <v>183</v>
      </c>
      <c r="AW248">
        <v>70.150000000000006</v>
      </c>
      <c r="AX248">
        <v>4.9660619799455628</v>
      </c>
      <c r="AY248">
        <v>72.650000000000006</v>
      </c>
      <c r="AZ248">
        <v>4.1765155087144166</v>
      </c>
      <c r="BB248">
        <v>70.150000000000006</v>
      </c>
      <c r="BD248">
        <v>4.9660619799455628</v>
      </c>
    </row>
    <row r="249" spans="26:58" x14ac:dyDescent="0.25">
      <c r="Z249">
        <v>45</v>
      </c>
      <c r="AA249">
        <f t="shared" si="17"/>
        <v>273</v>
      </c>
      <c r="AH249">
        <v>52.821179999999998</v>
      </c>
      <c r="AJ249">
        <v>45</v>
      </c>
      <c r="AK249">
        <f t="shared" si="18"/>
        <v>273</v>
      </c>
      <c r="AR249">
        <v>3.3949180000000001</v>
      </c>
      <c r="AT249">
        <v>190</v>
      </c>
      <c r="AW249">
        <v>62</v>
      </c>
      <c r="AX249">
        <v>2.5638379632225892</v>
      </c>
      <c r="AY249">
        <v>61.8</v>
      </c>
      <c r="AZ249">
        <v>3.1257573567599879</v>
      </c>
      <c r="BB249">
        <v>62</v>
      </c>
      <c r="BD249">
        <v>2.5638379632225892</v>
      </c>
    </row>
    <row r="250" spans="26:58" x14ac:dyDescent="0.25">
      <c r="Z250">
        <v>46</v>
      </c>
      <c r="AA250">
        <f t="shared" si="17"/>
        <v>274</v>
      </c>
      <c r="AH250">
        <v>52.934939999999997</v>
      </c>
      <c r="AJ250">
        <v>46</v>
      </c>
      <c r="AK250">
        <f t="shared" si="18"/>
        <v>274</v>
      </c>
      <c r="AR250">
        <v>3.3442690000000002</v>
      </c>
      <c r="AT250">
        <v>190</v>
      </c>
      <c r="AW250">
        <v>2</v>
      </c>
      <c r="AX250">
        <v>0</v>
      </c>
      <c r="AY250">
        <v>2</v>
      </c>
      <c r="AZ250">
        <v>0</v>
      </c>
      <c r="BB250">
        <v>2</v>
      </c>
      <c r="BE250">
        <v>0</v>
      </c>
    </row>
    <row r="251" spans="26:58" x14ac:dyDescent="0.25">
      <c r="Z251">
        <v>47</v>
      </c>
      <c r="AA251">
        <f t="shared" si="17"/>
        <v>275</v>
      </c>
      <c r="AH251">
        <v>53.038330000000002</v>
      </c>
      <c r="AJ251">
        <v>47</v>
      </c>
      <c r="AK251">
        <f t="shared" si="18"/>
        <v>275</v>
      </c>
      <c r="AR251">
        <v>3.2957679999999998</v>
      </c>
      <c r="AT251">
        <v>207</v>
      </c>
      <c r="AW251">
        <v>40.450000000000003</v>
      </c>
      <c r="AX251">
        <v>3.5941074830795863</v>
      </c>
      <c r="AY251">
        <v>41.15</v>
      </c>
      <c r="AZ251">
        <v>3.3250848096369863</v>
      </c>
      <c r="BB251">
        <v>40.450000000000003</v>
      </c>
      <c r="BE251">
        <v>3.5941074830795863</v>
      </c>
    </row>
    <row r="252" spans="26:58" x14ac:dyDescent="0.25">
      <c r="Z252">
        <v>48</v>
      </c>
      <c r="AA252">
        <f t="shared" si="17"/>
        <v>276</v>
      </c>
      <c r="AH252">
        <v>53.133740000000003</v>
      </c>
      <c r="AJ252">
        <v>48</v>
      </c>
      <c r="AK252">
        <f t="shared" si="18"/>
        <v>276</v>
      </c>
      <c r="AR252">
        <v>3.2500249999999999</v>
      </c>
      <c r="AT252">
        <v>218</v>
      </c>
      <c r="AW252">
        <v>59.8</v>
      </c>
      <c r="AX252">
        <v>4.6871727273505881</v>
      </c>
      <c r="AY252">
        <v>57.85</v>
      </c>
      <c r="AZ252">
        <v>4.9772255572269897</v>
      </c>
      <c r="BB252">
        <v>59.8</v>
      </c>
      <c r="BE252">
        <v>4.6871727273505881</v>
      </c>
    </row>
    <row r="253" spans="26:58" x14ac:dyDescent="0.25">
      <c r="Z253">
        <v>49</v>
      </c>
      <c r="AA253">
        <f t="shared" si="17"/>
        <v>277</v>
      </c>
      <c r="AH253">
        <v>53.223570000000002</v>
      </c>
      <c r="AJ253">
        <v>49</v>
      </c>
      <c r="AK253">
        <f t="shared" si="18"/>
        <v>277</v>
      </c>
      <c r="AR253">
        <v>3.207649</v>
      </c>
      <c r="AT253">
        <v>227</v>
      </c>
      <c r="AW253">
        <v>48.45</v>
      </c>
      <c r="AX253">
        <v>4.3231498065161915</v>
      </c>
      <c r="AY253">
        <v>46.65</v>
      </c>
      <c r="AZ253">
        <v>3.7571007458158396</v>
      </c>
      <c r="BB253">
        <v>48.45</v>
      </c>
      <c r="BE253">
        <v>4.3231498065161915</v>
      </c>
    </row>
    <row r="254" spans="26:58" x14ac:dyDescent="0.25">
      <c r="Z254">
        <v>50</v>
      </c>
      <c r="AA254">
        <f t="shared" si="17"/>
        <v>278</v>
      </c>
      <c r="AH254">
        <v>53.310209999999998</v>
      </c>
      <c r="AJ254">
        <v>50</v>
      </c>
      <c r="AK254">
        <f t="shared" si="18"/>
        <v>278</v>
      </c>
      <c r="AR254">
        <v>3.1692529999999999</v>
      </c>
      <c r="AT254">
        <v>228</v>
      </c>
      <c r="AW254">
        <v>44.2</v>
      </c>
      <c r="AX254">
        <v>3.0114229567036834</v>
      </c>
      <c r="AY254">
        <v>47.2</v>
      </c>
      <c r="AZ254">
        <v>2.4723706242055568</v>
      </c>
      <c r="BB254">
        <v>44.2</v>
      </c>
      <c r="BE254">
        <v>3.0114229567036834</v>
      </c>
    </row>
    <row r="255" spans="26:58" x14ac:dyDescent="0.25">
      <c r="Z255">
        <v>51</v>
      </c>
      <c r="AA255">
        <f t="shared" si="17"/>
        <v>279</v>
      </c>
      <c r="AH255">
        <v>53.396070000000002</v>
      </c>
      <c r="AJ255">
        <v>51</v>
      </c>
      <c r="AK255">
        <f t="shared" si="18"/>
        <v>279</v>
      </c>
      <c r="AR255">
        <v>3.1354440000000001</v>
      </c>
      <c r="AT255">
        <v>228</v>
      </c>
      <c r="AW255">
        <v>2</v>
      </c>
      <c r="AX255">
        <v>0</v>
      </c>
      <c r="AY255">
        <v>2</v>
      </c>
      <c r="AZ255">
        <v>0</v>
      </c>
      <c r="BB255">
        <v>2</v>
      </c>
      <c r="BF255">
        <v>0</v>
      </c>
    </row>
    <row r="256" spans="26:58" x14ac:dyDescent="0.25">
      <c r="Z256">
        <v>52</v>
      </c>
      <c r="AA256">
        <f t="shared" si="17"/>
        <v>280</v>
      </c>
      <c r="AH256">
        <v>53.483530000000002</v>
      </c>
      <c r="AJ256">
        <v>52</v>
      </c>
      <c r="AK256">
        <f t="shared" si="18"/>
        <v>280</v>
      </c>
      <c r="AR256">
        <v>3.1068349999999998</v>
      </c>
      <c r="AT256">
        <v>247</v>
      </c>
      <c r="AW256">
        <v>37.5</v>
      </c>
      <c r="AX256">
        <v>3.5218336683169462</v>
      </c>
      <c r="AY256">
        <v>39.25</v>
      </c>
      <c r="AZ256">
        <v>3.4119369521655267</v>
      </c>
      <c r="BB256">
        <v>37.5</v>
      </c>
      <c r="BF256">
        <v>3.5218336683169462</v>
      </c>
    </row>
    <row r="257" spans="26:61" x14ac:dyDescent="0.25">
      <c r="Z257">
        <v>53</v>
      </c>
      <c r="AA257">
        <f t="shared" si="17"/>
        <v>281</v>
      </c>
      <c r="AH257">
        <v>53.575000000000003</v>
      </c>
      <c r="AJ257">
        <v>53</v>
      </c>
      <c r="AK257">
        <f t="shared" si="18"/>
        <v>281</v>
      </c>
      <c r="AR257">
        <v>3.0840350000000001</v>
      </c>
      <c r="AT257">
        <v>262</v>
      </c>
      <c r="AW257">
        <v>51.6</v>
      </c>
      <c r="AX257">
        <v>4.0755224751818462</v>
      </c>
      <c r="AY257">
        <v>48.8</v>
      </c>
      <c r="AZ257">
        <v>3.7630626259108109</v>
      </c>
      <c r="BB257">
        <v>51.6</v>
      </c>
      <c r="BF257">
        <v>4.0755224751818462</v>
      </c>
    </row>
    <row r="258" spans="26:61" x14ac:dyDescent="0.25">
      <c r="Z258">
        <v>54</v>
      </c>
      <c r="AA258">
        <f t="shared" si="17"/>
        <v>282</v>
      </c>
      <c r="AH258">
        <v>53.67286</v>
      </c>
      <c r="AJ258">
        <v>54</v>
      </c>
      <c r="AK258">
        <f t="shared" si="18"/>
        <v>282</v>
      </c>
      <c r="AR258">
        <v>3.0840350000000001</v>
      </c>
      <c r="AT258">
        <v>281</v>
      </c>
      <c r="AW258">
        <v>53.55</v>
      </c>
      <c r="AX258">
        <v>3.2461806376573095</v>
      </c>
      <c r="AY258">
        <v>53.6</v>
      </c>
      <c r="AZ258">
        <v>2.9218867029392261</v>
      </c>
      <c r="BB258">
        <v>53.55</v>
      </c>
      <c r="BF258">
        <v>3.2461806376573095</v>
      </c>
    </row>
    <row r="259" spans="26:61" x14ac:dyDescent="0.25">
      <c r="Z259">
        <v>55</v>
      </c>
      <c r="AA259">
        <f t="shared" si="17"/>
        <v>283</v>
      </c>
      <c r="AH259">
        <v>53.779510000000002</v>
      </c>
      <c r="AJ259">
        <v>55</v>
      </c>
      <c r="AK259">
        <f t="shared" si="18"/>
        <v>283</v>
      </c>
      <c r="AR259">
        <v>3.0840350000000001</v>
      </c>
      <c r="AT259">
        <v>281</v>
      </c>
      <c r="AW259">
        <v>55.8</v>
      </c>
      <c r="AX259">
        <v>2.3971889311489356</v>
      </c>
      <c r="AY259">
        <v>56</v>
      </c>
      <c r="AZ259">
        <v>1.9650411669695571</v>
      </c>
      <c r="BB259">
        <v>55.8</v>
      </c>
      <c r="BF259">
        <v>2.3971889311489356</v>
      </c>
    </row>
    <row r="260" spans="26:61" x14ac:dyDescent="0.25">
      <c r="Z260">
        <v>56</v>
      </c>
      <c r="AA260">
        <f t="shared" si="17"/>
        <v>284</v>
      </c>
      <c r="AH260">
        <v>53.897359999999999</v>
      </c>
      <c r="AJ260">
        <v>56</v>
      </c>
      <c r="AK260">
        <f t="shared" si="18"/>
        <v>284</v>
      </c>
      <c r="AR260">
        <v>3.0840350000000001</v>
      </c>
      <c r="BB260">
        <v>2</v>
      </c>
      <c r="BG260">
        <v>0</v>
      </c>
    </row>
    <row r="261" spans="26:61" x14ac:dyDescent="0.25">
      <c r="Z261">
        <v>57</v>
      </c>
      <c r="AA261">
        <f t="shared" si="17"/>
        <v>285</v>
      </c>
      <c r="AH261">
        <v>54.028790000000001</v>
      </c>
      <c r="AJ261">
        <v>57</v>
      </c>
      <c r="AK261">
        <f t="shared" si="18"/>
        <v>285</v>
      </c>
      <c r="AR261">
        <v>3.0840350000000001</v>
      </c>
      <c r="BB261">
        <v>20.95</v>
      </c>
      <c r="BG261">
        <v>4.0417157153963652</v>
      </c>
    </row>
    <row r="262" spans="26:61" x14ac:dyDescent="0.25">
      <c r="Z262">
        <v>58</v>
      </c>
      <c r="AA262">
        <f t="shared" si="17"/>
        <v>286</v>
      </c>
      <c r="AH262">
        <v>54.176200000000001</v>
      </c>
      <c r="AJ262">
        <v>58</v>
      </c>
      <c r="AK262">
        <f t="shared" si="18"/>
        <v>286</v>
      </c>
      <c r="AR262">
        <v>3.0840350000000001</v>
      </c>
      <c r="BB262">
        <v>39.450000000000003</v>
      </c>
      <c r="BG262">
        <v>6.0608181977655224</v>
      </c>
    </row>
    <row r="263" spans="26:61" x14ac:dyDescent="0.25">
      <c r="Z263">
        <v>59</v>
      </c>
      <c r="AA263">
        <f t="shared" si="17"/>
        <v>287</v>
      </c>
      <c r="AH263">
        <v>54.34198</v>
      </c>
      <c r="AJ263">
        <v>59</v>
      </c>
      <c r="AK263">
        <f t="shared" si="18"/>
        <v>287</v>
      </c>
      <c r="AR263">
        <v>3.0840350000000001</v>
      </c>
      <c r="BB263">
        <v>65</v>
      </c>
      <c r="BG263">
        <v>7.4357377137459935</v>
      </c>
    </row>
    <row r="264" spans="26:61" x14ac:dyDescent="0.25">
      <c r="Z264">
        <v>0</v>
      </c>
      <c r="AA264">
        <f t="shared" si="17"/>
        <v>228</v>
      </c>
      <c r="AI264">
        <v>2</v>
      </c>
      <c r="AJ264">
        <v>0</v>
      </c>
      <c r="AK264">
        <f t="shared" si="18"/>
        <v>228</v>
      </c>
      <c r="AS264">
        <v>0</v>
      </c>
      <c r="BB264">
        <v>54</v>
      </c>
      <c r="BG264">
        <v>6.1540772921217828</v>
      </c>
    </row>
    <row r="265" spans="26:61" x14ac:dyDescent="0.25">
      <c r="Z265">
        <v>19</v>
      </c>
      <c r="AA265">
        <f t="shared" si="17"/>
        <v>247</v>
      </c>
      <c r="AI265">
        <v>37.5</v>
      </c>
      <c r="AJ265">
        <v>19</v>
      </c>
      <c r="AK265">
        <f t="shared" si="18"/>
        <v>247</v>
      </c>
      <c r="AS265">
        <v>3.5218336683169462</v>
      </c>
      <c r="BB265">
        <v>2</v>
      </c>
      <c r="BH265">
        <v>0</v>
      </c>
    </row>
    <row r="266" spans="26:61" x14ac:dyDescent="0.25">
      <c r="Z266">
        <v>34</v>
      </c>
      <c r="AA266">
        <f t="shared" si="17"/>
        <v>262</v>
      </c>
      <c r="AI266">
        <v>51.6</v>
      </c>
      <c r="AJ266">
        <v>34</v>
      </c>
      <c r="AK266">
        <f t="shared" si="18"/>
        <v>262</v>
      </c>
      <c r="AS266">
        <v>4.0755224751818462</v>
      </c>
      <c r="BB266">
        <v>32.299999999999997</v>
      </c>
      <c r="BH266">
        <v>3.2272061959975078</v>
      </c>
    </row>
    <row r="267" spans="26:61" x14ac:dyDescent="0.25">
      <c r="Z267">
        <v>53</v>
      </c>
      <c r="AA267">
        <f t="shared" si="17"/>
        <v>281</v>
      </c>
      <c r="AI267">
        <v>53.55</v>
      </c>
      <c r="AJ267">
        <v>53</v>
      </c>
      <c r="AK267">
        <f t="shared" si="18"/>
        <v>281</v>
      </c>
      <c r="AS267">
        <v>3.2461806376573095</v>
      </c>
      <c r="BB267">
        <v>64.05</v>
      </c>
      <c r="BH267">
        <v>4.0959888865092138</v>
      </c>
    </row>
    <row r="268" spans="26:61" x14ac:dyDescent="0.25">
      <c r="Z268">
        <v>0</v>
      </c>
      <c r="AA268">
        <f t="shared" ref="AA268:AA271" si="19">Z268+228</f>
        <v>228</v>
      </c>
      <c r="AI268">
        <v>2</v>
      </c>
      <c r="AJ268">
        <v>0</v>
      </c>
      <c r="AK268">
        <f t="shared" ref="AK268:AK271" si="20">AJ268+228</f>
        <v>228</v>
      </c>
      <c r="AS268">
        <v>0</v>
      </c>
      <c r="BB268">
        <v>72.650000000000006</v>
      </c>
      <c r="BH268">
        <v>4.1765155087144166</v>
      </c>
    </row>
    <row r="269" spans="26:61" x14ac:dyDescent="0.25">
      <c r="Z269">
        <v>19</v>
      </c>
      <c r="AA269">
        <f t="shared" si="19"/>
        <v>247</v>
      </c>
      <c r="AI269">
        <v>39.25</v>
      </c>
      <c r="AJ269">
        <v>19</v>
      </c>
      <c r="AK269">
        <f t="shared" si="20"/>
        <v>247</v>
      </c>
      <c r="AS269">
        <v>3.4119369521655267</v>
      </c>
      <c r="BB269">
        <v>61.8</v>
      </c>
      <c r="BH269">
        <v>3.1257573567599879</v>
      </c>
    </row>
    <row r="270" spans="26:61" x14ac:dyDescent="0.25">
      <c r="Z270">
        <v>34</v>
      </c>
      <c r="AA270">
        <f t="shared" si="19"/>
        <v>262</v>
      </c>
      <c r="AI270">
        <v>48.8</v>
      </c>
      <c r="AJ270">
        <v>34</v>
      </c>
      <c r="AK270">
        <f t="shared" si="20"/>
        <v>262</v>
      </c>
      <c r="AS270">
        <v>3.7630626259108109</v>
      </c>
      <c r="BB270">
        <v>2</v>
      </c>
      <c r="BI270">
        <v>0</v>
      </c>
    </row>
    <row r="271" spans="26:61" x14ac:dyDescent="0.25">
      <c r="Z271">
        <v>53</v>
      </c>
      <c r="AA271">
        <f t="shared" si="19"/>
        <v>281</v>
      </c>
      <c r="AI271">
        <v>53.6</v>
      </c>
      <c r="AJ271">
        <v>53</v>
      </c>
      <c r="AK271">
        <f t="shared" si="20"/>
        <v>281</v>
      </c>
      <c r="AS271">
        <v>2.9218867029392261</v>
      </c>
      <c r="BB271">
        <v>41.15</v>
      </c>
      <c r="BI271">
        <v>3.3250848096369863</v>
      </c>
    </row>
    <row r="272" spans="26:61" x14ac:dyDescent="0.25">
      <c r="BB272">
        <v>57.85</v>
      </c>
      <c r="BI272">
        <v>4.9772255572269897</v>
      </c>
    </row>
    <row r="273" spans="54:87" x14ac:dyDescent="0.25">
      <c r="BB273">
        <v>46.65</v>
      </c>
      <c r="BI273">
        <v>3.7571007458158396</v>
      </c>
    </row>
    <row r="274" spans="54:87" x14ac:dyDescent="0.25">
      <c r="BB274">
        <v>47.2</v>
      </c>
      <c r="BI274">
        <v>2.4723706242055568</v>
      </c>
    </row>
    <row r="275" spans="54:87" x14ac:dyDescent="0.25">
      <c r="BB275">
        <v>2</v>
      </c>
      <c r="BJ275">
        <v>0</v>
      </c>
    </row>
    <row r="276" spans="54:87" x14ac:dyDescent="0.25">
      <c r="BB276">
        <v>39.25</v>
      </c>
      <c r="BJ276">
        <v>3.4119369521655267</v>
      </c>
    </row>
    <row r="277" spans="54:87" x14ac:dyDescent="0.25">
      <c r="BB277">
        <v>48.8</v>
      </c>
      <c r="BJ277">
        <v>3.7630626259108109</v>
      </c>
    </row>
    <row r="278" spans="54:87" x14ac:dyDescent="0.25">
      <c r="BB278">
        <v>53.6</v>
      </c>
      <c r="BJ278">
        <v>2.9218867029392261</v>
      </c>
    </row>
    <row r="279" spans="54:87" x14ac:dyDescent="0.25">
      <c r="BB279">
        <v>56</v>
      </c>
      <c r="BJ279">
        <v>1.9650411669695571</v>
      </c>
    </row>
    <row r="280" spans="54:87" x14ac:dyDescent="0.25">
      <c r="BB280">
        <v>10</v>
      </c>
      <c r="BK280">
        <v>2.0461223605089316</v>
      </c>
      <c r="BL280">
        <f t="shared" ref="BL280:BL301" si="21">5.5+1.5*LN(BB280/100)</f>
        <v>2.0461223605089316</v>
      </c>
      <c r="BN280">
        <v>2.0461223605089316</v>
      </c>
      <c r="BO280">
        <v>2.3196046956998635</v>
      </c>
      <c r="BP280">
        <v>2.550830715440751</v>
      </c>
      <c r="BQ280">
        <v>2.7511278043775347</v>
      </c>
      <c r="BR280">
        <v>2.92780235786211</v>
      </c>
      <c r="BS280">
        <v>3.0858431313488492</v>
      </c>
      <c r="BT280">
        <v>3.2288084010553368</v>
      </c>
      <c r="BU280">
        <v>3.3593254665397816</v>
      </c>
      <c r="BV280">
        <v>3.4793895280500862</v>
      </c>
      <c r="BW280">
        <v>3.5905514862806687</v>
      </c>
      <c r="BX280">
        <v>3.6940407935110962</v>
      </c>
      <c r="BY280">
        <v>3.7908485752174528</v>
      </c>
      <c r="BZ280">
        <v>3.8817855079421051</v>
      </c>
      <c r="CA280">
        <v>3.9675231287020281</v>
      </c>
      <c r="CB280">
        <v>4.0486239606074417</v>
      </c>
      <c r="CC280">
        <v>4.1255639021887678</v>
      </c>
      <c r="CD280">
        <v>4.1987491484429151</v>
      </c>
      <c r="CE280">
        <v>4.2685291718952545</v>
      </c>
      <c r="CF280">
        <v>4.3352068157515058</v>
      </c>
      <c r="CG280">
        <v>4.3990462373796992</v>
      </c>
      <c r="CH280">
        <v>4.4602792291600819</v>
      </c>
      <c r="CI280">
        <v>5.165284673028685</v>
      </c>
    </row>
    <row r="281" spans="54:87" x14ac:dyDescent="0.25">
      <c r="BB281">
        <v>12</v>
      </c>
      <c r="BK281">
        <v>2.3196046956998635</v>
      </c>
      <c r="BL281">
        <f t="shared" si="21"/>
        <v>2.3196046956998635</v>
      </c>
    </row>
    <row r="282" spans="54:87" x14ac:dyDescent="0.25">
      <c r="BB282">
        <v>14</v>
      </c>
      <c r="BK282">
        <v>2.550830715440751</v>
      </c>
      <c r="BL282">
        <f t="shared" si="21"/>
        <v>2.550830715440751</v>
      </c>
    </row>
    <row r="283" spans="54:87" x14ac:dyDescent="0.25">
      <c r="BB283">
        <v>16</v>
      </c>
      <c r="BK283">
        <v>2.7511278043775347</v>
      </c>
      <c r="BL283">
        <f t="shared" si="21"/>
        <v>2.7511278043775347</v>
      </c>
    </row>
    <row r="284" spans="54:87" x14ac:dyDescent="0.25">
      <c r="BB284">
        <v>18</v>
      </c>
      <c r="BK284">
        <v>2.92780235786211</v>
      </c>
      <c r="BL284">
        <f t="shared" si="21"/>
        <v>2.92780235786211</v>
      </c>
    </row>
    <row r="285" spans="54:87" x14ac:dyDescent="0.25">
      <c r="BB285">
        <v>20</v>
      </c>
      <c r="BK285">
        <v>3.0858431313488492</v>
      </c>
      <c r="BL285">
        <f t="shared" si="21"/>
        <v>3.0858431313488497</v>
      </c>
    </row>
    <row r="286" spans="54:87" x14ac:dyDescent="0.25">
      <c r="BB286">
        <v>22</v>
      </c>
      <c r="BK286">
        <v>3.2288084010553368</v>
      </c>
      <c r="BL286">
        <f t="shared" si="21"/>
        <v>3.2288084010553368</v>
      </c>
    </row>
    <row r="287" spans="54:87" x14ac:dyDescent="0.25">
      <c r="BB287">
        <v>24</v>
      </c>
      <c r="BK287">
        <v>3.3593254665397816</v>
      </c>
      <c r="BL287">
        <f t="shared" si="21"/>
        <v>3.3593254665397811</v>
      </c>
    </row>
    <row r="288" spans="54:87" x14ac:dyDescent="0.25">
      <c r="BB288">
        <v>26</v>
      </c>
      <c r="BK288">
        <v>3.4793895280500862</v>
      </c>
      <c r="BL288">
        <f t="shared" si="21"/>
        <v>3.4793895280500862</v>
      </c>
    </row>
    <row r="289" spans="54:64" x14ac:dyDescent="0.25">
      <c r="BB289">
        <v>28</v>
      </c>
      <c r="BK289">
        <v>3.5905514862806687</v>
      </c>
      <c r="BL289">
        <f t="shared" si="21"/>
        <v>3.5905514862806691</v>
      </c>
    </row>
    <row r="290" spans="54:64" x14ac:dyDescent="0.25">
      <c r="BB290">
        <v>30</v>
      </c>
      <c r="BK290">
        <v>3.6940407935110962</v>
      </c>
      <c r="BL290">
        <f t="shared" si="21"/>
        <v>3.6940407935110957</v>
      </c>
    </row>
    <row r="291" spans="54:64" x14ac:dyDescent="0.25">
      <c r="BB291">
        <v>32</v>
      </c>
      <c r="BK291">
        <v>3.7908485752174528</v>
      </c>
      <c r="BL291">
        <f t="shared" si="21"/>
        <v>3.7908485752174528</v>
      </c>
    </row>
    <row r="292" spans="54:64" x14ac:dyDescent="0.25">
      <c r="BB292">
        <v>34</v>
      </c>
      <c r="BK292">
        <v>3.8817855079421051</v>
      </c>
      <c r="BL292">
        <f t="shared" si="21"/>
        <v>3.8817855079421051</v>
      </c>
    </row>
    <row r="293" spans="54:64" x14ac:dyDescent="0.25">
      <c r="BB293">
        <v>36</v>
      </c>
      <c r="BK293">
        <v>3.9675231287020281</v>
      </c>
      <c r="BL293">
        <f t="shared" si="21"/>
        <v>3.9675231287020276</v>
      </c>
    </row>
    <row r="294" spans="54:64" x14ac:dyDescent="0.25">
      <c r="BB294">
        <v>38</v>
      </c>
      <c r="BK294">
        <v>4.0486239606074417</v>
      </c>
      <c r="BL294">
        <f t="shared" si="21"/>
        <v>4.0486239606074417</v>
      </c>
    </row>
    <row r="295" spans="54:64" x14ac:dyDescent="0.25">
      <c r="BB295">
        <v>40</v>
      </c>
      <c r="BK295">
        <v>4.1255639021887678</v>
      </c>
      <c r="BL295">
        <f t="shared" si="21"/>
        <v>4.1255639021887678</v>
      </c>
    </row>
    <row r="296" spans="54:64" x14ac:dyDescent="0.25">
      <c r="BB296">
        <v>42</v>
      </c>
      <c r="BK296">
        <v>4.1987491484429151</v>
      </c>
      <c r="BL296">
        <f t="shared" si="21"/>
        <v>4.1987491484429151</v>
      </c>
    </row>
    <row r="297" spans="54:64" x14ac:dyDescent="0.25">
      <c r="BB297">
        <v>44</v>
      </c>
      <c r="BK297">
        <v>4.2685291718952545</v>
      </c>
      <c r="BL297">
        <f t="shared" si="21"/>
        <v>4.2685291718952545</v>
      </c>
    </row>
    <row r="298" spans="54:64" x14ac:dyDescent="0.25">
      <c r="BB298">
        <v>46</v>
      </c>
      <c r="BK298">
        <v>4.3352068157515058</v>
      </c>
      <c r="BL298">
        <f t="shared" si="21"/>
        <v>4.3352068157515058</v>
      </c>
    </row>
    <row r="299" spans="54:64" x14ac:dyDescent="0.25">
      <c r="BB299">
        <v>48</v>
      </c>
      <c r="BK299">
        <v>4.3990462373796992</v>
      </c>
      <c r="BL299">
        <f t="shared" si="21"/>
        <v>4.3990462373796992</v>
      </c>
    </row>
    <row r="300" spans="54:64" x14ac:dyDescent="0.25">
      <c r="BB300">
        <v>50</v>
      </c>
      <c r="BK300">
        <v>4.4602792291600819</v>
      </c>
      <c r="BL300">
        <f t="shared" si="21"/>
        <v>4.4602792291600819</v>
      </c>
    </row>
    <row r="301" spans="54:64" x14ac:dyDescent="0.25">
      <c r="BB301">
        <v>80</v>
      </c>
      <c r="BK301">
        <v>5.165284673028685</v>
      </c>
      <c r="BL301">
        <f t="shared" si="21"/>
        <v>5.165284673028685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1996 alfalfa Introduction</vt:lpstr>
      <vt:lpstr>Dic. 1996 alfalfa growth</vt:lpstr>
      <vt:lpstr>1996 alfalfa growth</vt:lpstr>
      <vt:lpstr>Dic. 1996 alfalfa yield</vt:lpstr>
      <vt:lpstr>1996 alfalfa yield</vt:lpstr>
      <vt:lpstr>1996 alfalfa graphing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Evett, Steve</cp:lastModifiedBy>
  <dcterms:created xsi:type="dcterms:W3CDTF">2021-05-05T13:15:07Z</dcterms:created>
  <dcterms:modified xsi:type="dcterms:W3CDTF">2022-04-08T15:22:12Z</dcterms:modified>
</cp:coreProperties>
</file>