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chada\Desktop\"/>
    </mc:Choice>
  </mc:AlternateContent>
  <bookViews>
    <workbookView xWindow="0" yWindow="0" windowWidth="19200" windowHeight="7350" tabRatio="711" activeTab="3"/>
  </bookViews>
  <sheets>
    <sheet name="Summary total N2O from N fert" sheetId="38" r:id="rId1"/>
    <sheet name="Summary N2O from residue" sheetId="36" r:id="rId2"/>
    <sheet name="Define amount of N in residue" sheetId="41" r:id="rId3"/>
    <sheet name="CA" sheetId="23" r:id="rId4"/>
    <sheet name="KS" sheetId="20" r:id="rId5"/>
    <sheet name="MT" sheetId="21" r:id="rId6"/>
    <sheet name="ND" sheetId="24" r:id="rId7"/>
    <sheet name="NE" sheetId="22" r:id="rId8"/>
    <sheet name="OK" sheetId="16" r:id="rId9"/>
    <sheet name="OR" sheetId="15" r:id="rId10"/>
    <sheet name="SD" sheetId="17" r:id="rId11"/>
    <sheet name="TX" sheetId="19" r:id="rId12"/>
    <sheet name="WA" sheetId="18" r:id="rId13"/>
  </sheets>
  <externalReferences>
    <externalReference r:id="rId14"/>
  </externalReferences>
  <calcPr calcId="152511" calcMode="manual" iterate="1" iterateDelta="1.0000000000000001E-5"/>
</workbook>
</file>

<file path=xl/calcChain.xml><?xml version="1.0" encoding="utf-8"?>
<calcChain xmlns="http://schemas.openxmlformats.org/spreadsheetml/2006/main">
  <c r="E63" i="38" l="1"/>
  <c r="F135" i="36"/>
  <c r="G135" i="36" s="1"/>
  <c r="F134" i="36"/>
  <c r="G134" i="36" s="1"/>
  <c r="F133" i="36"/>
  <c r="G133" i="36" s="1"/>
  <c r="F132" i="36"/>
  <c r="G132" i="36" s="1"/>
  <c r="F131" i="36"/>
  <c r="G131" i="36" s="1"/>
  <c r="F130" i="36"/>
  <c r="G130" i="36" s="1"/>
  <c r="F129" i="36"/>
  <c r="G129" i="36" s="1"/>
  <c r="F128" i="36"/>
  <c r="G128" i="36" s="1"/>
  <c r="F127" i="36"/>
  <c r="G127" i="36" s="1"/>
  <c r="F122" i="36"/>
  <c r="G122" i="36" s="1"/>
  <c r="F121" i="36"/>
  <c r="G121" i="36" s="1"/>
  <c r="F120" i="36"/>
  <c r="G120" i="36" s="1"/>
  <c r="F119" i="36"/>
  <c r="G119" i="36" s="1"/>
  <c r="F118" i="36"/>
  <c r="G118" i="36" s="1"/>
  <c r="F117" i="36"/>
  <c r="G117" i="36" s="1"/>
  <c r="F116" i="36"/>
  <c r="G116" i="36" s="1"/>
  <c r="F115" i="36"/>
  <c r="G115" i="36" s="1"/>
  <c r="F114" i="36"/>
  <c r="G114" i="36" s="1"/>
  <c r="F109" i="36"/>
  <c r="G109" i="36" s="1"/>
  <c r="F108" i="36"/>
  <c r="G108" i="36" s="1"/>
  <c r="F107" i="36"/>
  <c r="G107" i="36" s="1"/>
  <c r="F106" i="36"/>
  <c r="G106" i="36" s="1"/>
  <c r="F105" i="36"/>
  <c r="G105" i="36" s="1"/>
  <c r="F104" i="36"/>
  <c r="G104" i="36" s="1"/>
  <c r="F103" i="36"/>
  <c r="G103" i="36" s="1"/>
  <c r="F102" i="36"/>
  <c r="G102" i="36" s="1"/>
  <c r="F101" i="36"/>
  <c r="G101" i="36" s="1"/>
  <c r="F96" i="36"/>
  <c r="G96" i="36" s="1"/>
  <c r="F95" i="36"/>
  <c r="G95" i="36" s="1"/>
  <c r="F94" i="36"/>
  <c r="G94" i="36" s="1"/>
  <c r="F93" i="36"/>
  <c r="G93" i="36" s="1"/>
  <c r="F92" i="36"/>
  <c r="G92" i="36" s="1"/>
  <c r="F91" i="36"/>
  <c r="G91" i="36" s="1"/>
  <c r="F90" i="36"/>
  <c r="G90" i="36" s="1"/>
  <c r="F89" i="36"/>
  <c r="G89" i="36" s="1"/>
  <c r="F88" i="36"/>
  <c r="G88" i="36" s="1"/>
  <c r="F83" i="36"/>
  <c r="G83" i="36" s="1"/>
  <c r="F82" i="36"/>
  <c r="G82" i="36" s="1"/>
  <c r="F81" i="36"/>
  <c r="G81" i="36" s="1"/>
  <c r="F80" i="36"/>
  <c r="G80" i="36" s="1"/>
  <c r="F79" i="36"/>
  <c r="G79" i="36" s="1"/>
  <c r="F78" i="36"/>
  <c r="G78" i="36" s="1"/>
  <c r="F77" i="36"/>
  <c r="G77" i="36" s="1"/>
  <c r="F76" i="36"/>
  <c r="G76" i="36" s="1"/>
  <c r="F75" i="36"/>
  <c r="G75" i="36" s="1"/>
  <c r="F70" i="36"/>
  <c r="G70" i="36" s="1"/>
  <c r="F69" i="36"/>
  <c r="G69" i="36" s="1"/>
  <c r="F68" i="36"/>
  <c r="G68" i="36" s="1"/>
  <c r="F67" i="36"/>
  <c r="G67" i="36" s="1"/>
  <c r="F66" i="36"/>
  <c r="G66" i="36" s="1"/>
  <c r="F65" i="36"/>
  <c r="G65" i="36" s="1"/>
  <c r="F64" i="36"/>
  <c r="G64" i="36" s="1"/>
  <c r="F63" i="36"/>
  <c r="G63" i="36" s="1"/>
  <c r="F62" i="36"/>
  <c r="G62" i="36" s="1"/>
  <c r="F57" i="36"/>
  <c r="G57" i="36" s="1"/>
  <c r="F56" i="36"/>
  <c r="G56" i="36" s="1"/>
  <c r="F55" i="36"/>
  <c r="G55" i="36" s="1"/>
  <c r="F54" i="36"/>
  <c r="G54" i="36" s="1"/>
  <c r="F53" i="36"/>
  <c r="G53" i="36" s="1"/>
  <c r="F52" i="36"/>
  <c r="G52" i="36" s="1"/>
  <c r="F51" i="36"/>
  <c r="G51" i="36" s="1"/>
  <c r="F50" i="36"/>
  <c r="G50" i="36" s="1"/>
  <c r="F49" i="36"/>
  <c r="G49" i="36" s="1"/>
  <c r="F44" i="36"/>
  <c r="G44" i="36" s="1"/>
  <c r="F43" i="36"/>
  <c r="G43" i="36" s="1"/>
  <c r="F42" i="36"/>
  <c r="G42" i="36" s="1"/>
  <c r="F41" i="36"/>
  <c r="G41" i="36" s="1"/>
  <c r="F40" i="36"/>
  <c r="G40" i="36" s="1"/>
  <c r="F39" i="36"/>
  <c r="G39" i="36" s="1"/>
  <c r="F38" i="36"/>
  <c r="G38" i="36" s="1"/>
  <c r="F37" i="36"/>
  <c r="G37" i="36" s="1"/>
  <c r="F36" i="36"/>
  <c r="G36" i="36" s="1"/>
  <c r="F31" i="36"/>
  <c r="G31" i="36" s="1"/>
  <c r="F30" i="36"/>
  <c r="G30" i="36" s="1"/>
  <c r="F29" i="36"/>
  <c r="G29" i="36" s="1"/>
  <c r="F28" i="36"/>
  <c r="G28" i="36" s="1"/>
  <c r="F27" i="36"/>
  <c r="G27" i="36" s="1"/>
  <c r="F26" i="36"/>
  <c r="G26" i="36" s="1"/>
  <c r="F25" i="36"/>
  <c r="G25" i="36" s="1"/>
  <c r="F24" i="36"/>
  <c r="G24" i="36" s="1"/>
  <c r="F23" i="36"/>
  <c r="G23" i="36" s="1"/>
  <c r="F18" i="36"/>
  <c r="G18" i="36" s="1"/>
  <c r="F17" i="36"/>
  <c r="G17" i="36" s="1"/>
  <c r="F16" i="36"/>
  <c r="G16" i="36" s="1"/>
  <c r="F15" i="36"/>
  <c r="G15" i="36" s="1"/>
  <c r="F14" i="36"/>
  <c r="G14" i="36" s="1"/>
  <c r="F13" i="36"/>
  <c r="G13" i="36" s="1"/>
  <c r="F12" i="36"/>
  <c r="G12" i="36" s="1"/>
  <c r="F11" i="36"/>
  <c r="G11" i="36" s="1"/>
  <c r="F10" i="36"/>
  <c r="G10" i="36" s="1"/>
  <c r="B10" i="41"/>
  <c r="C117" i="36" s="1"/>
  <c r="D117" i="36" s="1"/>
  <c r="B5" i="41"/>
  <c r="E7" i="38"/>
  <c r="E5" i="38"/>
  <c r="D5" i="41"/>
  <c r="D11" i="41"/>
  <c r="D10" i="41"/>
  <c r="D9" i="41"/>
  <c r="B48" i="38"/>
  <c r="B47" i="38"/>
  <c r="C52" i="38"/>
  <c r="C47" i="38"/>
  <c r="D63" i="38" s="1"/>
  <c r="H9" i="18"/>
  <c r="H8" i="18"/>
  <c r="P8" i="18" s="1"/>
  <c r="H7" i="18"/>
  <c r="H6" i="18"/>
  <c r="H5" i="18"/>
  <c r="P9" i="18"/>
  <c r="P7" i="18"/>
  <c r="P6" i="18"/>
  <c r="P5" i="18"/>
  <c r="H9" i="17"/>
  <c r="H8" i="17"/>
  <c r="H7" i="17"/>
  <c r="P7" i="17" s="1"/>
  <c r="Q7" i="17" s="1"/>
  <c r="R7" i="17" s="1"/>
  <c r="H6" i="17"/>
  <c r="P6" i="17" s="1"/>
  <c r="Q6" i="17" s="1"/>
  <c r="R6" i="17" s="1"/>
  <c r="H5" i="17"/>
  <c r="P9" i="17"/>
  <c r="Q9" i="17" s="1"/>
  <c r="R9" i="17" s="1"/>
  <c r="P8" i="17"/>
  <c r="Q8" i="17" s="1"/>
  <c r="R8" i="17" s="1"/>
  <c r="P5" i="17"/>
  <c r="Q5" i="17" s="1"/>
  <c r="R5" i="17" s="1"/>
  <c r="H9" i="15"/>
  <c r="P9" i="15" s="1"/>
  <c r="H8" i="15"/>
  <c r="P8" i="15" s="1"/>
  <c r="H7" i="15"/>
  <c r="P7" i="15" s="1"/>
  <c r="H6" i="15"/>
  <c r="P6" i="15" s="1"/>
  <c r="H5" i="15"/>
  <c r="P5" i="15" s="1"/>
  <c r="P5" i="16"/>
  <c r="Q5" i="16" s="1"/>
  <c r="P16" i="16"/>
  <c r="P9" i="16"/>
  <c r="Q9" i="16" s="1"/>
  <c r="R9" i="16" s="1"/>
  <c r="R5" i="16"/>
  <c r="H9" i="16"/>
  <c r="H8" i="16"/>
  <c r="P8" i="16" s="1"/>
  <c r="Q8" i="16" s="1"/>
  <c r="R8" i="16" s="1"/>
  <c r="H7" i="16"/>
  <c r="P7" i="16" s="1"/>
  <c r="Q7" i="16" s="1"/>
  <c r="R7" i="16" s="1"/>
  <c r="H6" i="16"/>
  <c r="P6" i="16" s="1"/>
  <c r="Q6" i="16" s="1"/>
  <c r="R6" i="16" s="1"/>
  <c r="H5" i="16"/>
  <c r="R10" i="24"/>
  <c r="Q10" i="24"/>
  <c r="Q5" i="24"/>
  <c r="R5" i="24" s="1"/>
  <c r="Q9" i="24"/>
  <c r="R9" i="24" s="1"/>
  <c r="R8" i="24"/>
  <c r="Q8" i="24"/>
  <c r="Q7" i="24"/>
  <c r="R7" i="24" s="1"/>
  <c r="Q6" i="24"/>
  <c r="R6" i="24" s="1"/>
  <c r="H9" i="24"/>
  <c r="H8" i="24"/>
  <c r="H7" i="24"/>
  <c r="H6" i="24"/>
  <c r="H5" i="24"/>
  <c r="H16" i="24"/>
  <c r="H17" i="20"/>
  <c r="Q9" i="20"/>
  <c r="R9" i="20" s="1"/>
  <c r="Q8" i="20"/>
  <c r="R8" i="20" s="1"/>
  <c r="Q7" i="20"/>
  <c r="R7" i="20" s="1"/>
  <c r="Q6" i="20"/>
  <c r="R6" i="20" s="1"/>
  <c r="Q5" i="20"/>
  <c r="R5" i="20" s="1"/>
  <c r="P6" i="20"/>
  <c r="H9" i="20"/>
  <c r="P9" i="20" s="1"/>
  <c r="H8" i="20"/>
  <c r="P8" i="20" s="1"/>
  <c r="H7" i="20"/>
  <c r="P7" i="20" s="1"/>
  <c r="H6" i="20"/>
  <c r="H5" i="20"/>
  <c r="P5" i="20" s="1"/>
  <c r="Q6" i="21"/>
  <c r="Q7" i="21"/>
  <c r="Q8" i="21"/>
  <c r="Q9" i="21"/>
  <c r="Q5" i="21"/>
  <c r="H6" i="21"/>
  <c r="H7" i="21"/>
  <c r="H8" i="21"/>
  <c r="H9" i="21"/>
  <c r="H5" i="21"/>
  <c r="P5" i="21" s="1"/>
  <c r="H16" i="21"/>
  <c r="C39" i="36" l="1"/>
  <c r="D39" i="36" s="1"/>
  <c r="B9" i="41"/>
  <c r="C26" i="36"/>
  <c r="D26" i="36" s="1"/>
  <c r="C130" i="36"/>
  <c r="D130" i="36" s="1"/>
  <c r="C52" i="36"/>
  <c r="D52" i="36" s="1"/>
  <c r="C104" i="36"/>
  <c r="D104" i="36" s="1"/>
  <c r="C91" i="36"/>
  <c r="D91" i="36" s="1"/>
  <c r="B11" i="41"/>
  <c r="C78" i="36"/>
  <c r="D78" i="36" s="1"/>
  <c r="C13" i="36"/>
  <c r="D13" i="36" s="1"/>
  <c r="C65" i="36"/>
  <c r="D65" i="36" s="1"/>
  <c r="C25" i="38"/>
  <c r="D5" i="38"/>
  <c r="C133" i="36" l="1"/>
  <c r="D133" i="36" s="1"/>
  <c r="C81" i="36"/>
  <c r="D81" i="36" s="1"/>
  <c r="C29" i="36"/>
  <c r="D29" i="36" s="1"/>
  <c r="C94" i="36"/>
  <c r="D94" i="36" s="1"/>
  <c r="C42" i="36"/>
  <c r="D42" i="36" s="1"/>
  <c r="C55" i="36"/>
  <c r="D55" i="36" s="1"/>
  <c r="C120" i="36"/>
  <c r="D120" i="36" s="1"/>
  <c r="C68" i="36"/>
  <c r="D68" i="36" s="1"/>
  <c r="C16" i="36"/>
  <c r="D16" i="36" s="1"/>
  <c r="C107" i="36"/>
  <c r="D107" i="36" s="1"/>
  <c r="C101" i="36"/>
  <c r="D101" i="36" s="1"/>
  <c r="C49" i="36"/>
  <c r="D49" i="36" s="1"/>
  <c r="C114" i="36"/>
  <c r="D114" i="36" s="1"/>
  <c r="C10" i="36"/>
  <c r="D10" i="36" s="1"/>
  <c r="C127" i="36"/>
  <c r="D127" i="36" s="1"/>
  <c r="C23" i="36"/>
  <c r="D23" i="36" s="1"/>
  <c r="C88" i="36"/>
  <c r="D88" i="36" s="1"/>
  <c r="C36" i="36"/>
  <c r="D36" i="36" s="1"/>
  <c r="C62" i="36"/>
  <c r="D62" i="36" s="1"/>
  <c r="C75" i="36"/>
  <c r="D75" i="36" s="1"/>
  <c r="L25" i="38" l="1"/>
  <c r="L34" i="38"/>
  <c r="L33" i="38"/>
  <c r="L32" i="38"/>
  <c r="L31" i="38"/>
  <c r="L30" i="38"/>
  <c r="L29" i="38"/>
  <c r="L28" i="38"/>
  <c r="L27" i="38"/>
  <c r="L26" i="38"/>
  <c r="C6" i="38"/>
  <c r="N5" i="15"/>
  <c r="N5" i="16"/>
  <c r="N5" i="22"/>
  <c r="N5" i="24"/>
  <c r="N5" i="21"/>
  <c r="N5" i="20"/>
  <c r="N5" i="23"/>
  <c r="M25" i="38" l="1"/>
  <c r="C59" i="38" s="1"/>
  <c r="B59" i="38"/>
  <c r="C26" i="38"/>
  <c r="M26" i="38" s="1"/>
  <c r="C60" i="38" s="1"/>
  <c r="C7" i="38"/>
  <c r="D6" i="38"/>
  <c r="E6" i="38" s="1"/>
  <c r="B60" i="38" s="1"/>
  <c r="C27" i="38" l="1"/>
  <c r="D7" i="38"/>
  <c r="B61" i="38" s="1"/>
  <c r="C8" i="38"/>
  <c r="C28" i="38" l="1"/>
  <c r="M27" i="38"/>
  <c r="C61" i="38" s="1"/>
  <c r="D8" i="38"/>
  <c r="E8" i="38" s="1"/>
  <c r="B62" i="38" s="1"/>
  <c r="C9" i="38"/>
  <c r="C29" i="38" l="1"/>
  <c r="M28" i="38"/>
  <c r="C62" i="38" s="1"/>
  <c r="D9" i="38"/>
  <c r="E9" i="38" s="1"/>
  <c r="B63" i="38" s="1"/>
  <c r="C10" i="38"/>
  <c r="C30" i="38" l="1"/>
  <c r="M29" i="38"/>
  <c r="C63" i="38" s="1"/>
  <c r="C11" i="38"/>
  <c r="D10" i="38"/>
  <c r="E10" i="38" s="1"/>
  <c r="B64" i="38" s="1"/>
  <c r="C31" i="38" l="1"/>
  <c r="M30" i="38"/>
  <c r="C64" i="38" s="1"/>
  <c r="C12" i="38"/>
  <c r="D11" i="38"/>
  <c r="E11" i="38" s="1"/>
  <c r="B65" i="38" s="1"/>
  <c r="C32" i="38" l="1"/>
  <c r="M31" i="38"/>
  <c r="C65" i="38" s="1"/>
  <c r="D12" i="38"/>
  <c r="E12" i="38" s="1"/>
  <c r="B66" i="38" s="1"/>
  <c r="C13" i="38"/>
  <c r="C33" i="38" l="1"/>
  <c r="M32" i="38"/>
  <c r="D13" i="38"/>
  <c r="E13" i="38" s="1"/>
  <c r="C14" i="38"/>
  <c r="D14" i="38" s="1"/>
  <c r="E14" i="38" s="1"/>
  <c r="C66" i="38" l="1"/>
  <c r="B68" i="38"/>
  <c r="B67" i="38"/>
  <c r="C34" i="38"/>
  <c r="M33" i="38"/>
  <c r="C67" i="38" l="1"/>
  <c r="M34" i="38"/>
  <c r="C68" i="38" l="1"/>
  <c r="H16" i="23" l="1"/>
  <c r="P16" i="23" s="1"/>
  <c r="H13" i="36" l="1"/>
  <c r="H15" i="36"/>
  <c r="H90" i="36"/>
  <c r="H129" i="36"/>
  <c r="H14" i="36"/>
  <c r="H92" i="18"/>
  <c r="P92" i="18" s="1"/>
  <c r="H91" i="18"/>
  <c r="P91" i="18" s="1"/>
  <c r="H90" i="18"/>
  <c r="P90" i="18" s="1"/>
  <c r="H89" i="18"/>
  <c r="P89" i="18" s="1"/>
  <c r="H88" i="18"/>
  <c r="P88" i="18" s="1"/>
  <c r="H83" i="18"/>
  <c r="P83" i="18" s="1"/>
  <c r="H82" i="18"/>
  <c r="P82" i="18" s="1"/>
  <c r="H81" i="18"/>
  <c r="P81" i="18" s="1"/>
  <c r="H80" i="18"/>
  <c r="P80" i="18" s="1"/>
  <c r="H79" i="18"/>
  <c r="P79" i="18" s="1"/>
  <c r="H74" i="18"/>
  <c r="P74" i="18" s="1"/>
  <c r="H73" i="18"/>
  <c r="P73" i="18" s="1"/>
  <c r="H72" i="18"/>
  <c r="P72" i="18" s="1"/>
  <c r="H71" i="18"/>
  <c r="P71" i="18" s="1"/>
  <c r="H70" i="18"/>
  <c r="P70" i="18" s="1"/>
  <c r="H65" i="18"/>
  <c r="P65" i="18" s="1"/>
  <c r="H64" i="18"/>
  <c r="P64" i="18" s="1"/>
  <c r="H63" i="18"/>
  <c r="P63" i="18" s="1"/>
  <c r="H62" i="18"/>
  <c r="P62" i="18" s="1"/>
  <c r="H61" i="18"/>
  <c r="P61" i="18" s="1"/>
  <c r="H56" i="18"/>
  <c r="P56" i="18" s="1"/>
  <c r="H55" i="18"/>
  <c r="P55" i="18" s="1"/>
  <c r="H54" i="18"/>
  <c r="P54" i="18" s="1"/>
  <c r="H53" i="18"/>
  <c r="P53" i="18" s="1"/>
  <c r="H52" i="18"/>
  <c r="P52" i="18" s="1"/>
  <c r="H47" i="18"/>
  <c r="P47" i="18" s="1"/>
  <c r="H46" i="18"/>
  <c r="P46" i="18" s="1"/>
  <c r="H45" i="18"/>
  <c r="P45" i="18" s="1"/>
  <c r="H44" i="18"/>
  <c r="P44" i="18" s="1"/>
  <c r="H43" i="18"/>
  <c r="P43" i="18" s="1"/>
  <c r="H38" i="18"/>
  <c r="P38" i="18" s="1"/>
  <c r="H37" i="18"/>
  <c r="P37" i="18" s="1"/>
  <c r="H36" i="18"/>
  <c r="P36" i="18" s="1"/>
  <c r="H35" i="18"/>
  <c r="P35" i="18" s="1"/>
  <c r="H34" i="18"/>
  <c r="P34" i="18" s="1"/>
  <c r="H92" i="19"/>
  <c r="P92" i="19" s="1"/>
  <c r="H91" i="19"/>
  <c r="P91" i="19" s="1"/>
  <c r="H90" i="19"/>
  <c r="P90" i="19" s="1"/>
  <c r="H89" i="19"/>
  <c r="P89" i="19" s="1"/>
  <c r="H88" i="19"/>
  <c r="P88" i="19" s="1"/>
  <c r="H83" i="19"/>
  <c r="P83" i="19" s="1"/>
  <c r="H82" i="19"/>
  <c r="P82" i="19" s="1"/>
  <c r="H81" i="19"/>
  <c r="P81" i="19" s="1"/>
  <c r="H80" i="19"/>
  <c r="P80" i="19" s="1"/>
  <c r="H79" i="19"/>
  <c r="P79" i="19" s="1"/>
  <c r="H74" i="19"/>
  <c r="P74" i="19" s="1"/>
  <c r="H73" i="19"/>
  <c r="P73" i="19" s="1"/>
  <c r="H72" i="19"/>
  <c r="P72" i="19" s="1"/>
  <c r="H71" i="19"/>
  <c r="P71" i="19" s="1"/>
  <c r="H70" i="19"/>
  <c r="P70" i="19" s="1"/>
  <c r="H65" i="19"/>
  <c r="P65" i="19" s="1"/>
  <c r="H64" i="19"/>
  <c r="P64" i="19" s="1"/>
  <c r="H63" i="19"/>
  <c r="P63" i="19" s="1"/>
  <c r="H62" i="19"/>
  <c r="P62" i="19" s="1"/>
  <c r="H61" i="19"/>
  <c r="P61" i="19" s="1"/>
  <c r="H56" i="19"/>
  <c r="P56" i="19" s="1"/>
  <c r="H55" i="19"/>
  <c r="P55" i="19" s="1"/>
  <c r="H54" i="19"/>
  <c r="P54" i="19" s="1"/>
  <c r="H53" i="19"/>
  <c r="P53" i="19" s="1"/>
  <c r="H52" i="19"/>
  <c r="P52" i="19" s="1"/>
  <c r="H47" i="19"/>
  <c r="P47" i="19" s="1"/>
  <c r="H46" i="19"/>
  <c r="P46" i="19" s="1"/>
  <c r="H45" i="19"/>
  <c r="P45" i="19" s="1"/>
  <c r="H44" i="19"/>
  <c r="P44" i="19" s="1"/>
  <c r="H43" i="19"/>
  <c r="P43" i="19" s="1"/>
  <c r="H38" i="19"/>
  <c r="P38" i="19" s="1"/>
  <c r="H37" i="19"/>
  <c r="P37" i="19" s="1"/>
  <c r="H36" i="19"/>
  <c r="P36" i="19" s="1"/>
  <c r="H35" i="19"/>
  <c r="P35" i="19" s="1"/>
  <c r="H34" i="19"/>
  <c r="P34" i="19" s="1"/>
  <c r="H92" i="17"/>
  <c r="P92" i="17" s="1"/>
  <c r="H91" i="17"/>
  <c r="P91" i="17" s="1"/>
  <c r="H90" i="17"/>
  <c r="P90" i="17" s="1"/>
  <c r="H89" i="17"/>
  <c r="P89" i="17" s="1"/>
  <c r="H88" i="17"/>
  <c r="P88" i="17" s="1"/>
  <c r="H83" i="17"/>
  <c r="P83" i="17" s="1"/>
  <c r="H82" i="17"/>
  <c r="P82" i="17" s="1"/>
  <c r="H81" i="17"/>
  <c r="P81" i="17" s="1"/>
  <c r="H80" i="17"/>
  <c r="P80" i="17" s="1"/>
  <c r="H79" i="17"/>
  <c r="P79" i="17" s="1"/>
  <c r="H74" i="17"/>
  <c r="P74" i="17" s="1"/>
  <c r="H73" i="17"/>
  <c r="P73" i="17" s="1"/>
  <c r="H72" i="17"/>
  <c r="P72" i="17" s="1"/>
  <c r="H71" i="17"/>
  <c r="P71" i="17" s="1"/>
  <c r="H70" i="17"/>
  <c r="P70" i="17" s="1"/>
  <c r="H65" i="17"/>
  <c r="P65" i="17" s="1"/>
  <c r="H64" i="17"/>
  <c r="P64" i="17" s="1"/>
  <c r="H63" i="17"/>
  <c r="P63" i="17" s="1"/>
  <c r="H62" i="17"/>
  <c r="P62" i="17" s="1"/>
  <c r="H61" i="17"/>
  <c r="P61" i="17" s="1"/>
  <c r="H56" i="17"/>
  <c r="P56" i="17" s="1"/>
  <c r="H55" i="17"/>
  <c r="P55" i="17" s="1"/>
  <c r="H54" i="17"/>
  <c r="P54" i="17" s="1"/>
  <c r="H53" i="17"/>
  <c r="P53" i="17" s="1"/>
  <c r="H52" i="17"/>
  <c r="P52" i="17" s="1"/>
  <c r="H47" i="17"/>
  <c r="P47" i="17" s="1"/>
  <c r="H46" i="17"/>
  <c r="P46" i="17" s="1"/>
  <c r="H45" i="17"/>
  <c r="P45" i="17" s="1"/>
  <c r="H44" i="17"/>
  <c r="P44" i="17" s="1"/>
  <c r="H43" i="17"/>
  <c r="P43" i="17" s="1"/>
  <c r="H38" i="17"/>
  <c r="P38" i="17" s="1"/>
  <c r="H37" i="17"/>
  <c r="P37" i="17" s="1"/>
  <c r="H36" i="17"/>
  <c r="P36" i="17" s="1"/>
  <c r="H35" i="17"/>
  <c r="P35" i="17" s="1"/>
  <c r="H34" i="17"/>
  <c r="P34" i="17" s="1"/>
  <c r="H92" i="15"/>
  <c r="P92" i="15" s="1"/>
  <c r="H91" i="15"/>
  <c r="P91" i="15" s="1"/>
  <c r="H90" i="15"/>
  <c r="P90" i="15" s="1"/>
  <c r="H89" i="15"/>
  <c r="P89" i="15" s="1"/>
  <c r="H88" i="15"/>
  <c r="P88" i="15" s="1"/>
  <c r="H83" i="15"/>
  <c r="P83" i="15" s="1"/>
  <c r="H82" i="15"/>
  <c r="P82" i="15" s="1"/>
  <c r="H81" i="15"/>
  <c r="P81" i="15" s="1"/>
  <c r="H80" i="15"/>
  <c r="P80" i="15" s="1"/>
  <c r="H79" i="15"/>
  <c r="P79" i="15" s="1"/>
  <c r="H74" i="15"/>
  <c r="P74" i="15" s="1"/>
  <c r="H73" i="15"/>
  <c r="P73" i="15" s="1"/>
  <c r="H72" i="15"/>
  <c r="P72" i="15" s="1"/>
  <c r="H71" i="15"/>
  <c r="P71" i="15" s="1"/>
  <c r="H70" i="15"/>
  <c r="P70" i="15" s="1"/>
  <c r="H65" i="15"/>
  <c r="P65" i="15" s="1"/>
  <c r="H64" i="15"/>
  <c r="P64" i="15" s="1"/>
  <c r="H63" i="15"/>
  <c r="P63" i="15" s="1"/>
  <c r="H62" i="15"/>
  <c r="P62" i="15" s="1"/>
  <c r="H61" i="15"/>
  <c r="P61" i="15" s="1"/>
  <c r="H56" i="15"/>
  <c r="P56" i="15" s="1"/>
  <c r="H55" i="15"/>
  <c r="P55" i="15" s="1"/>
  <c r="H54" i="15"/>
  <c r="P54" i="15" s="1"/>
  <c r="H53" i="15"/>
  <c r="P53" i="15" s="1"/>
  <c r="H52" i="15"/>
  <c r="P52" i="15" s="1"/>
  <c r="H47" i="15"/>
  <c r="P47" i="15" s="1"/>
  <c r="H46" i="15"/>
  <c r="P46" i="15" s="1"/>
  <c r="H45" i="15"/>
  <c r="P45" i="15" s="1"/>
  <c r="H44" i="15"/>
  <c r="P44" i="15" s="1"/>
  <c r="H43" i="15"/>
  <c r="P43" i="15" s="1"/>
  <c r="H38" i="15"/>
  <c r="P38" i="15" s="1"/>
  <c r="H37" i="15"/>
  <c r="P37" i="15" s="1"/>
  <c r="H36" i="15"/>
  <c r="P36" i="15" s="1"/>
  <c r="H35" i="15"/>
  <c r="P35" i="15" s="1"/>
  <c r="H34" i="15"/>
  <c r="P34" i="15" s="1"/>
  <c r="H92" i="16"/>
  <c r="P92" i="16" s="1"/>
  <c r="H91" i="16"/>
  <c r="P91" i="16" s="1"/>
  <c r="H90" i="16"/>
  <c r="P90" i="16" s="1"/>
  <c r="H89" i="16"/>
  <c r="P89" i="16" s="1"/>
  <c r="H88" i="16"/>
  <c r="P88" i="16" s="1"/>
  <c r="H83" i="16"/>
  <c r="P83" i="16" s="1"/>
  <c r="H82" i="16"/>
  <c r="P82" i="16" s="1"/>
  <c r="H81" i="16"/>
  <c r="P81" i="16" s="1"/>
  <c r="H80" i="16"/>
  <c r="P80" i="16" s="1"/>
  <c r="H79" i="16"/>
  <c r="P79" i="16" s="1"/>
  <c r="H74" i="16"/>
  <c r="P74" i="16" s="1"/>
  <c r="H73" i="16"/>
  <c r="P73" i="16" s="1"/>
  <c r="H72" i="16"/>
  <c r="P72" i="16" s="1"/>
  <c r="H71" i="16"/>
  <c r="P71" i="16" s="1"/>
  <c r="H70" i="16"/>
  <c r="P70" i="16" s="1"/>
  <c r="H65" i="16"/>
  <c r="P65" i="16" s="1"/>
  <c r="H64" i="16"/>
  <c r="P64" i="16" s="1"/>
  <c r="H63" i="16"/>
  <c r="P63" i="16" s="1"/>
  <c r="H62" i="16"/>
  <c r="P62" i="16" s="1"/>
  <c r="H61" i="16"/>
  <c r="P61" i="16" s="1"/>
  <c r="H56" i="16"/>
  <c r="P56" i="16" s="1"/>
  <c r="H55" i="16"/>
  <c r="P55" i="16" s="1"/>
  <c r="H54" i="16"/>
  <c r="P54" i="16" s="1"/>
  <c r="H52" i="16"/>
  <c r="P52" i="16" s="1"/>
  <c r="H47" i="16"/>
  <c r="P47" i="16" s="1"/>
  <c r="H46" i="16"/>
  <c r="P46" i="16" s="1"/>
  <c r="H45" i="16"/>
  <c r="P45" i="16" s="1"/>
  <c r="H44" i="16"/>
  <c r="P44" i="16" s="1"/>
  <c r="H43" i="16"/>
  <c r="P43" i="16" s="1"/>
  <c r="H38" i="16"/>
  <c r="P38" i="16" s="1"/>
  <c r="H37" i="16"/>
  <c r="P37" i="16" s="1"/>
  <c r="H36" i="16"/>
  <c r="P36" i="16" s="1"/>
  <c r="H35" i="16"/>
  <c r="P35" i="16" s="1"/>
  <c r="H34" i="16"/>
  <c r="P34" i="16" s="1"/>
  <c r="H29" i="16"/>
  <c r="P29" i="16" s="1"/>
  <c r="H28" i="16"/>
  <c r="P28" i="16" s="1"/>
  <c r="H27" i="16"/>
  <c r="P27" i="16" s="1"/>
  <c r="H26" i="16"/>
  <c r="P26" i="16" s="1"/>
  <c r="H25" i="16"/>
  <c r="P25" i="16" s="1"/>
  <c r="H29" i="15"/>
  <c r="P29" i="15" s="1"/>
  <c r="H28" i="15"/>
  <c r="P28" i="15" s="1"/>
  <c r="H27" i="15"/>
  <c r="P27" i="15" s="1"/>
  <c r="H26" i="15"/>
  <c r="P26" i="15" s="1"/>
  <c r="H25" i="15"/>
  <c r="P25" i="15" s="1"/>
  <c r="H29" i="17"/>
  <c r="P29" i="17" s="1"/>
  <c r="H28" i="17"/>
  <c r="P28" i="17" s="1"/>
  <c r="H27" i="17"/>
  <c r="P27" i="17" s="1"/>
  <c r="H26" i="17"/>
  <c r="P26" i="17" s="1"/>
  <c r="H25" i="17"/>
  <c r="P25" i="17" s="1"/>
  <c r="H29" i="18"/>
  <c r="P29" i="18" s="1"/>
  <c r="H28" i="18"/>
  <c r="P28" i="18" s="1"/>
  <c r="H27" i="18"/>
  <c r="P27" i="18" s="1"/>
  <c r="H26" i="18"/>
  <c r="P26" i="18" s="1"/>
  <c r="H25" i="18"/>
  <c r="P25" i="18" s="1"/>
  <c r="H20" i="18"/>
  <c r="P20" i="18" s="1"/>
  <c r="H19" i="18"/>
  <c r="P19" i="18" s="1"/>
  <c r="H18" i="18"/>
  <c r="P18" i="18" s="1"/>
  <c r="H17" i="18"/>
  <c r="P17" i="18" s="1"/>
  <c r="H16" i="18"/>
  <c r="P16" i="18" s="1"/>
  <c r="H29" i="19"/>
  <c r="P29" i="19" s="1"/>
  <c r="H28" i="19"/>
  <c r="P28" i="19" s="1"/>
  <c r="H27" i="19"/>
  <c r="P27" i="19" s="1"/>
  <c r="H26" i="19"/>
  <c r="P26" i="19" s="1"/>
  <c r="H25" i="19"/>
  <c r="P25" i="19" s="1"/>
  <c r="H20" i="19"/>
  <c r="P20" i="19" s="1"/>
  <c r="H19" i="19"/>
  <c r="P19" i="19" s="1"/>
  <c r="H18" i="19"/>
  <c r="P18" i="19" s="1"/>
  <c r="H17" i="19"/>
  <c r="P17" i="19" s="1"/>
  <c r="H16" i="19"/>
  <c r="P16" i="19" s="1"/>
  <c r="H20" i="17"/>
  <c r="P20" i="17" s="1"/>
  <c r="H19" i="17"/>
  <c r="P19" i="17" s="1"/>
  <c r="H18" i="17"/>
  <c r="P18" i="17" s="1"/>
  <c r="H17" i="17"/>
  <c r="P17" i="17" s="1"/>
  <c r="H16" i="17"/>
  <c r="P16" i="17" s="1"/>
  <c r="H20" i="15"/>
  <c r="P20" i="15" s="1"/>
  <c r="H19" i="15"/>
  <c r="P19" i="15" s="1"/>
  <c r="H18" i="15"/>
  <c r="P18" i="15" s="1"/>
  <c r="H17" i="15"/>
  <c r="P17" i="15" s="1"/>
  <c r="H16" i="15"/>
  <c r="P16" i="15" s="1"/>
  <c r="H20" i="16"/>
  <c r="P20" i="16" s="1"/>
  <c r="H19" i="16"/>
  <c r="P19" i="16" s="1"/>
  <c r="H18" i="16"/>
  <c r="P18" i="16" s="1"/>
  <c r="H17" i="16"/>
  <c r="P17" i="16" s="1"/>
  <c r="H16" i="16"/>
  <c r="H92" i="22"/>
  <c r="P92" i="22" s="1"/>
  <c r="H91" i="22"/>
  <c r="P91" i="22" s="1"/>
  <c r="H90" i="22"/>
  <c r="P90" i="22" s="1"/>
  <c r="H89" i="22"/>
  <c r="P89" i="22" s="1"/>
  <c r="H88" i="22"/>
  <c r="P88" i="22" s="1"/>
  <c r="H83" i="22"/>
  <c r="P83" i="22" s="1"/>
  <c r="H82" i="22"/>
  <c r="P82" i="22" s="1"/>
  <c r="H81" i="22"/>
  <c r="P81" i="22" s="1"/>
  <c r="H80" i="22"/>
  <c r="P80" i="22" s="1"/>
  <c r="H79" i="22"/>
  <c r="P79" i="22" s="1"/>
  <c r="H74" i="22"/>
  <c r="P74" i="22" s="1"/>
  <c r="H73" i="22"/>
  <c r="P73" i="22" s="1"/>
  <c r="H72" i="22"/>
  <c r="P72" i="22" s="1"/>
  <c r="H71" i="22"/>
  <c r="P71" i="22" s="1"/>
  <c r="H70" i="22"/>
  <c r="P70" i="22" s="1"/>
  <c r="H65" i="22"/>
  <c r="P65" i="22" s="1"/>
  <c r="H64" i="22"/>
  <c r="P64" i="22" s="1"/>
  <c r="H63" i="22"/>
  <c r="P63" i="22" s="1"/>
  <c r="H62" i="22"/>
  <c r="P62" i="22" s="1"/>
  <c r="H61" i="22"/>
  <c r="P61" i="22" s="1"/>
  <c r="H56" i="22"/>
  <c r="P56" i="22" s="1"/>
  <c r="H55" i="22"/>
  <c r="P55" i="22" s="1"/>
  <c r="H54" i="22"/>
  <c r="P54" i="22" s="1"/>
  <c r="H53" i="22"/>
  <c r="P53" i="22" s="1"/>
  <c r="H52" i="22"/>
  <c r="P52" i="22" s="1"/>
  <c r="H47" i="22"/>
  <c r="P47" i="22" s="1"/>
  <c r="H46" i="22"/>
  <c r="P46" i="22" s="1"/>
  <c r="H45" i="22"/>
  <c r="P45" i="22" s="1"/>
  <c r="H44" i="22"/>
  <c r="P44" i="22" s="1"/>
  <c r="H43" i="22"/>
  <c r="P43" i="22" s="1"/>
  <c r="H38" i="22"/>
  <c r="P38" i="22" s="1"/>
  <c r="H37" i="22"/>
  <c r="P37" i="22" s="1"/>
  <c r="H36" i="22"/>
  <c r="P36" i="22" s="1"/>
  <c r="H35" i="22"/>
  <c r="P35" i="22" s="1"/>
  <c r="H34" i="22"/>
  <c r="P34" i="22" s="1"/>
  <c r="H29" i="22"/>
  <c r="P29" i="22" s="1"/>
  <c r="H28" i="22"/>
  <c r="P28" i="22" s="1"/>
  <c r="H27" i="22"/>
  <c r="P27" i="22" s="1"/>
  <c r="H26" i="22"/>
  <c r="P26" i="22" s="1"/>
  <c r="H25" i="22"/>
  <c r="P25" i="22" s="1"/>
  <c r="H20" i="22"/>
  <c r="P20" i="22" s="1"/>
  <c r="H19" i="22"/>
  <c r="P19" i="22" s="1"/>
  <c r="H18" i="22"/>
  <c r="P18" i="22" s="1"/>
  <c r="H17" i="22"/>
  <c r="P17" i="22" s="1"/>
  <c r="H16" i="22"/>
  <c r="P16" i="22" s="1"/>
  <c r="H92" i="24"/>
  <c r="P92" i="24" s="1"/>
  <c r="H91" i="24"/>
  <c r="P91" i="24" s="1"/>
  <c r="H90" i="24"/>
  <c r="P90" i="24" s="1"/>
  <c r="H89" i="24"/>
  <c r="P89" i="24" s="1"/>
  <c r="H88" i="24"/>
  <c r="P88" i="24" s="1"/>
  <c r="H83" i="24"/>
  <c r="P83" i="24" s="1"/>
  <c r="H82" i="24"/>
  <c r="P82" i="24" s="1"/>
  <c r="H81" i="24"/>
  <c r="P81" i="24" s="1"/>
  <c r="H80" i="24"/>
  <c r="P80" i="24" s="1"/>
  <c r="H79" i="24"/>
  <c r="P79" i="24" s="1"/>
  <c r="H74" i="24"/>
  <c r="P74" i="24" s="1"/>
  <c r="H73" i="24"/>
  <c r="P73" i="24" s="1"/>
  <c r="H72" i="24"/>
  <c r="P72" i="24" s="1"/>
  <c r="H71" i="24"/>
  <c r="P71" i="24" s="1"/>
  <c r="H70" i="24"/>
  <c r="P70" i="24" s="1"/>
  <c r="H65" i="24"/>
  <c r="P65" i="24" s="1"/>
  <c r="H64" i="24"/>
  <c r="P64" i="24" s="1"/>
  <c r="H63" i="24"/>
  <c r="P63" i="24" s="1"/>
  <c r="H62" i="24"/>
  <c r="P62" i="24" s="1"/>
  <c r="H61" i="24"/>
  <c r="P61" i="24" s="1"/>
  <c r="H56" i="24"/>
  <c r="P56" i="24" s="1"/>
  <c r="H55" i="24"/>
  <c r="P55" i="24" s="1"/>
  <c r="H54" i="24"/>
  <c r="P54" i="24" s="1"/>
  <c r="H53" i="24"/>
  <c r="P53" i="24" s="1"/>
  <c r="H52" i="24"/>
  <c r="P52" i="24" s="1"/>
  <c r="H47" i="24"/>
  <c r="P47" i="24" s="1"/>
  <c r="H46" i="24"/>
  <c r="P46" i="24" s="1"/>
  <c r="H45" i="24"/>
  <c r="P45" i="24" s="1"/>
  <c r="H44" i="24"/>
  <c r="P44" i="24" s="1"/>
  <c r="H43" i="24"/>
  <c r="P43" i="24" s="1"/>
  <c r="H38" i="24"/>
  <c r="P38" i="24" s="1"/>
  <c r="H37" i="24"/>
  <c r="P37" i="24" s="1"/>
  <c r="H36" i="24"/>
  <c r="P36" i="24" s="1"/>
  <c r="H35" i="24"/>
  <c r="P35" i="24" s="1"/>
  <c r="H34" i="24"/>
  <c r="P34" i="24" s="1"/>
  <c r="H29" i="24"/>
  <c r="P29" i="24" s="1"/>
  <c r="H28" i="24"/>
  <c r="P28" i="24" s="1"/>
  <c r="H27" i="24"/>
  <c r="P27" i="24" s="1"/>
  <c r="H26" i="24"/>
  <c r="P26" i="24" s="1"/>
  <c r="H25" i="24"/>
  <c r="P25" i="24" s="1"/>
  <c r="H20" i="24"/>
  <c r="P20" i="24" s="1"/>
  <c r="H19" i="24"/>
  <c r="P19" i="24" s="1"/>
  <c r="H18" i="24"/>
  <c r="P18" i="24" s="1"/>
  <c r="H17" i="24"/>
  <c r="P17" i="24" s="1"/>
  <c r="P16" i="24"/>
  <c r="H92" i="21"/>
  <c r="P92" i="21" s="1"/>
  <c r="H91" i="21"/>
  <c r="P91" i="21" s="1"/>
  <c r="H90" i="21"/>
  <c r="P90" i="21" s="1"/>
  <c r="H89" i="21"/>
  <c r="P89" i="21" s="1"/>
  <c r="H88" i="21"/>
  <c r="P88" i="21" s="1"/>
  <c r="H83" i="21"/>
  <c r="P83" i="21" s="1"/>
  <c r="H82" i="21"/>
  <c r="P82" i="21" s="1"/>
  <c r="H81" i="21"/>
  <c r="P81" i="21" s="1"/>
  <c r="H80" i="21"/>
  <c r="P80" i="21" s="1"/>
  <c r="H79" i="21"/>
  <c r="P79" i="21" s="1"/>
  <c r="H74" i="21"/>
  <c r="P74" i="21" s="1"/>
  <c r="H73" i="21"/>
  <c r="P73" i="21" s="1"/>
  <c r="H72" i="21"/>
  <c r="P72" i="21" s="1"/>
  <c r="H71" i="21"/>
  <c r="P71" i="21" s="1"/>
  <c r="H70" i="21"/>
  <c r="P70" i="21" s="1"/>
  <c r="H65" i="21"/>
  <c r="P65" i="21" s="1"/>
  <c r="H64" i="21"/>
  <c r="P64" i="21" s="1"/>
  <c r="H63" i="21"/>
  <c r="P63" i="21" s="1"/>
  <c r="H62" i="21"/>
  <c r="P62" i="21" s="1"/>
  <c r="H61" i="21"/>
  <c r="P61" i="21" s="1"/>
  <c r="H56" i="21"/>
  <c r="P56" i="21" s="1"/>
  <c r="H55" i="21"/>
  <c r="P55" i="21" s="1"/>
  <c r="H54" i="21"/>
  <c r="P54" i="21" s="1"/>
  <c r="H53" i="21"/>
  <c r="P53" i="21" s="1"/>
  <c r="H52" i="21"/>
  <c r="P52" i="21" s="1"/>
  <c r="H47" i="21"/>
  <c r="P47" i="21" s="1"/>
  <c r="H46" i="21"/>
  <c r="P46" i="21" s="1"/>
  <c r="H45" i="21"/>
  <c r="P45" i="21" s="1"/>
  <c r="H44" i="21"/>
  <c r="P44" i="21" s="1"/>
  <c r="H43" i="21"/>
  <c r="P43" i="21" s="1"/>
  <c r="H38" i="21"/>
  <c r="P38" i="21" s="1"/>
  <c r="H37" i="21"/>
  <c r="P37" i="21" s="1"/>
  <c r="H36" i="21"/>
  <c r="P36" i="21" s="1"/>
  <c r="H35" i="21"/>
  <c r="P35" i="21" s="1"/>
  <c r="H34" i="21"/>
  <c r="P34" i="21" s="1"/>
  <c r="H29" i="21"/>
  <c r="P29" i="21" s="1"/>
  <c r="H28" i="21"/>
  <c r="P28" i="21" s="1"/>
  <c r="H27" i="21"/>
  <c r="P27" i="21" s="1"/>
  <c r="H26" i="21"/>
  <c r="P26" i="21" s="1"/>
  <c r="H25" i="21"/>
  <c r="P25" i="21" s="1"/>
  <c r="H20" i="21"/>
  <c r="P20" i="21" s="1"/>
  <c r="H19" i="21"/>
  <c r="P19" i="21" s="1"/>
  <c r="H18" i="21"/>
  <c r="P18" i="21" s="1"/>
  <c r="H17" i="21"/>
  <c r="P17" i="21" s="1"/>
  <c r="P16" i="21"/>
  <c r="H92" i="20"/>
  <c r="P92" i="20" s="1"/>
  <c r="H91" i="20"/>
  <c r="P91" i="20" s="1"/>
  <c r="H90" i="20"/>
  <c r="P90" i="20" s="1"/>
  <c r="H89" i="20"/>
  <c r="P89" i="20" s="1"/>
  <c r="H88" i="20"/>
  <c r="P88" i="20" s="1"/>
  <c r="H83" i="20"/>
  <c r="P83" i="20" s="1"/>
  <c r="H82" i="20"/>
  <c r="P82" i="20" s="1"/>
  <c r="H81" i="20"/>
  <c r="P81" i="20" s="1"/>
  <c r="H80" i="20"/>
  <c r="P80" i="20" s="1"/>
  <c r="H79" i="20"/>
  <c r="P79" i="20" s="1"/>
  <c r="H74" i="20"/>
  <c r="P74" i="20" s="1"/>
  <c r="H73" i="20"/>
  <c r="P73" i="20" s="1"/>
  <c r="H72" i="20"/>
  <c r="P72" i="20" s="1"/>
  <c r="H71" i="20"/>
  <c r="P71" i="20" s="1"/>
  <c r="H65" i="20"/>
  <c r="P65" i="20" s="1"/>
  <c r="H64" i="20"/>
  <c r="P64" i="20" s="1"/>
  <c r="H63" i="20"/>
  <c r="P63" i="20" s="1"/>
  <c r="H62" i="20"/>
  <c r="P62" i="20" s="1"/>
  <c r="H61" i="20"/>
  <c r="P61" i="20" s="1"/>
  <c r="H56" i="20"/>
  <c r="P56" i="20" s="1"/>
  <c r="H55" i="20"/>
  <c r="P55" i="20" s="1"/>
  <c r="H54" i="20"/>
  <c r="P54" i="20" s="1"/>
  <c r="H53" i="20"/>
  <c r="P53" i="20" s="1"/>
  <c r="H52" i="20"/>
  <c r="P52" i="20" s="1"/>
  <c r="H47" i="20"/>
  <c r="P47" i="20" s="1"/>
  <c r="H46" i="20"/>
  <c r="P46" i="20" s="1"/>
  <c r="H45" i="20"/>
  <c r="P45" i="20" s="1"/>
  <c r="H44" i="20"/>
  <c r="P44" i="20" s="1"/>
  <c r="H43" i="20"/>
  <c r="P43" i="20" s="1"/>
  <c r="H38" i="20"/>
  <c r="P38" i="20" s="1"/>
  <c r="H37" i="20"/>
  <c r="P37" i="20" s="1"/>
  <c r="H36" i="20"/>
  <c r="P36" i="20" s="1"/>
  <c r="H35" i="20"/>
  <c r="P35" i="20" s="1"/>
  <c r="H34" i="20"/>
  <c r="P34" i="20" s="1"/>
  <c r="H29" i="20"/>
  <c r="P29" i="20" s="1"/>
  <c r="H28" i="20"/>
  <c r="P28" i="20" s="1"/>
  <c r="H27" i="20"/>
  <c r="P27" i="20" s="1"/>
  <c r="H26" i="20"/>
  <c r="P26" i="20" s="1"/>
  <c r="H25" i="20"/>
  <c r="P25" i="20" s="1"/>
  <c r="H20" i="20"/>
  <c r="P20" i="20" s="1"/>
  <c r="H19" i="20"/>
  <c r="P19" i="20" s="1"/>
  <c r="H18" i="20"/>
  <c r="P18" i="20" s="1"/>
  <c r="H16" i="20"/>
  <c r="P16" i="20" s="1"/>
  <c r="H92" i="23"/>
  <c r="P92" i="23" s="1"/>
  <c r="H91" i="23"/>
  <c r="P91" i="23" s="1"/>
  <c r="H90" i="23"/>
  <c r="P90" i="23" s="1"/>
  <c r="H89" i="23"/>
  <c r="P89" i="23" s="1"/>
  <c r="H88" i="23"/>
  <c r="P88" i="23" s="1"/>
  <c r="H83" i="23"/>
  <c r="P83" i="23" s="1"/>
  <c r="H82" i="23"/>
  <c r="P82" i="23" s="1"/>
  <c r="H81" i="23"/>
  <c r="P81" i="23" s="1"/>
  <c r="H80" i="23"/>
  <c r="P80" i="23" s="1"/>
  <c r="H79" i="23"/>
  <c r="P79" i="23" s="1"/>
  <c r="H74" i="23"/>
  <c r="P74" i="23" s="1"/>
  <c r="H73" i="23"/>
  <c r="P73" i="23" s="1"/>
  <c r="H72" i="23"/>
  <c r="P72" i="23" s="1"/>
  <c r="H71" i="23"/>
  <c r="P71" i="23" s="1"/>
  <c r="H70" i="23"/>
  <c r="P70" i="23" s="1"/>
  <c r="H65" i="23"/>
  <c r="P65" i="23" s="1"/>
  <c r="H64" i="23"/>
  <c r="P64" i="23" s="1"/>
  <c r="H63" i="23"/>
  <c r="P63" i="23" s="1"/>
  <c r="H62" i="23"/>
  <c r="P62" i="23" s="1"/>
  <c r="H61" i="23"/>
  <c r="P61" i="23" s="1"/>
  <c r="H56" i="23"/>
  <c r="P56" i="23" s="1"/>
  <c r="H55" i="23"/>
  <c r="P55" i="23" s="1"/>
  <c r="H54" i="23"/>
  <c r="P54" i="23" s="1"/>
  <c r="H53" i="23"/>
  <c r="P53" i="23" s="1"/>
  <c r="H52" i="23"/>
  <c r="P52" i="23" s="1"/>
  <c r="H47" i="23"/>
  <c r="P47" i="23" s="1"/>
  <c r="H46" i="23"/>
  <c r="P46" i="23" s="1"/>
  <c r="H45" i="23"/>
  <c r="P45" i="23" s="1"/>
  <c r="H44" i="23"/>
  <c r="P44" i="23" s="1"/>
  <c r="H43" i="23"/>
  <c r="P43" i="23" s="1"/>
  <c r="H38" i="23"/>
  <c r="P38" i="23" s="1"/>
  <c r="H37" i="23"/>
  <c r="P37" i="23" s="1"/>
  <c r="H36" i="23"/>
  <c r="P36" i="23" s="1"/>
  <c r="H35" i="23"/>
  <c r="P35" i="23" s="1"/>
  <c r="H34" i="23"/>
  <c r="P34" i="23" s="1"/>
  <c r="H29" i="23"/>
  <c r="P29" i="23" s="1"/>
  <c r="H28" i="23"/>
  <c r="P28" i="23" s="1"/>
  <c r="H27" i="23"/>
  <c r="P27" i="23" s="1"/>
  <c r="H26" i="23"/>
  <c r="P26" i="23" s="1"/>
  <c r="H25" i="23"/>
  <c r="P25" i="23" s="1"/>
  <c r="H20" i="23"/>
  <c r="P20" i="23" s="1"/>
  <c r="H19" i="23"/>
  <c r="P19" i="23" s="1"/>
  <c r="H18" i="23"/>
  <c r="P18" i="23" s="1"/>
  <c r="H17" i="23"/>
  <c r="P17" i="23" s="1"/>
  <c r="H38" i="36" l="1"/>
  <c r="H103" i="36"/>
  <c r="H102" i="36"/>
  <c r="H101" i="36"/>
  <c r="I101" i="36" s="1"/>
  <c r="H128" i="36"/>
  <c r="H127" i="36"/>
  <c r="H10" i="36"/>
  <c r="I10" i="36" s="1"/>
  <c r="H12" i="36"/>
  <c r="H11" i="36"/>
  <c r="H49" i="36"/>
  <c r="I49" i="36" s="1"/>
  <c r="H50" i="36"/>
  <c r="H51" i="36"/>
  <c r="H89" i="36"/>
  <c r="H88" i="36"/>
  <c r="I88" i="36" s="1"/>
  <c r="H63" i="36"/>
  <c r="H64" i="36"/>
  <c r="H62" i="36"/>
  <c r="I62" i="36" s="1"/>
  <c r="H24" i="36"/>
  <c r="H25" i="36"/>
  <c r="H23" i="36"/>
  <c r="I23" i="36" s="1"/>
  <c r="G43" i="17"/>
  <c r="G43" i="24"/>
  <c r="G43" i="21"/>
  <c r="G43" i="19"/>
  <c r="G43" i="22"/>
  <c r="G43" i="15"/>
  <c r="G43" i="18"/>
  <c r="G43" i="16"/>
  <c r="G43" i="20"/>
  <c r="G43" i="23"/>
  <c r="H36" i="36"/>
  <c r="I36" i="36" s="1"/>
  <c r="H37" i="36"/>
  <c r="H115" i="36"/>
  <c r="H114" i="36"/>
  <c r="H116" i="36"/>
  <c r="H77" i="36"/>
  <c r="H75" i="36"/>
  <c r="I75" i="36" s="1"/>
  <c r="H76" i="36"/>
  <c r="H27" i="36"/>
  <c r="H26" i="36"/>
  <c r="I13" i="36"/>
  <c r="I114" i="36"/>
  <c r="H18" i="36"/>
  <c r="H28" i="36"/>
  <c r="H17" i="36"/>
  <c r="H131" i="36"/>
  <c r="H79" i="36"/>
  <c r="H118" i="36"/>
  <c r="H66" i="36"/>
  <c r="H105" i="36"/>
  <c r="H53" i="36"/>
  <c r="H92" i="36"/>
  <c r="H40" i="36"/>
  <c r="H93" i="36"/>
  <c r="H41" i="36"/>
  <c r="H132" i="36"/>
  <c r="H80" i="36"/>
  <c r="H119" i="36"/>
  <c r="H67" i="36"/>
  <c r="H54" i="36"/>
  <c r="H106" i="36"/>
  <c r="H16" i="36"/>
  <c r="H117" i="36"/>
  <c r="H65" i="36"/>
  <c r="H104" i="36"/>
  <c r="H52" i="36"/>
  <c r="H91" i="36"/>
  <c r="H39" i="36"/>
  <c r="H78" i="36"/>
  <c r="H130" i="36"/>
  <c r="H70" i="20"/>
  <c r="P70" i="20" s="1"/>
  <c r="H53" i="16"/>
  <c r="P53" i="16" s="1"/>
  <c r="P17" i="20"/>
  <c r="I14" i="36" l="1"/>
  <c r="G52" i="18"/>
  <c r="G52" i="19"/>
  <c r="G52" i="17"/>
  <c r="G52" i="15"/>
  <c r="G52" i="16"/>
  <c r="G52" i="22"/>
  <c r="G52" i="24"/>
  <c r="G52" i="21"/>
  <c r="G52" i="20"/>
  <c r="G52" i="23"/>
  <c r="G16" i="19"/>
  <c r="G16" i="15"/>
  <c r="G16" i="16"/>
  <c r="G16" i="24"/>
  <c r="G16" i="20"/>
  <c r="G16" i="23"/>
  <c r="G16" i="18"/>
  <c r="G17" i="18" s="1"/>
  <c r="G18" i="18" s="1"/>
  <c r="G19" i="18" s="1"/>
  <c r="G20" i="18" s="1"/>
  <c r="G16" i="17"/>
  <c r="G16" i="22"/>
  <c r="G16" i="21"/>
  <c r="Q16" i="21" s="1"/>
  <c r="I92" i="36"/>
  <c r="I39" i="36"/>
  <c r="I66" i="36"/>
  <c r="I52" i="36"/>
  <c r="I65" i="36"/>
  <c r="I40" i="36"/>
  <c r="I24" i="36"/>
  <c r="I78" i="36"/>
  <c r="I26" i="36"/>
  <c r="I130" i="36"/>
  <c r="I104" i="36"/>
  <c r="I131" i="36"/>
  <c r="I127" i="36"/>
  <c r="I118" i="36"/>
  <c r="I91" i="36"/>
  <c r="I117" i="36"/>
  <c r="H30" i="36"/>
  <c r="H31" i="36"/>
  <c r="H29" i="36"/>
  <c r="H107" i="36"/>
  <c r="H55" i="36"/>
  <c r="H94" i="36"/>
  <c r="H42" i="36"/>
  <c r="H133" i="36"/>
  <c r="H81" i="36"/>
  <c r="H120" i="36"/>
  <c r="H68" i="36"/>
  <c r="H135" i="36"/>
  <c r="H83" i="36"/>
  <c r="H122" i="36"/>
  <c r="H70" i="36"/>
  <c r="H109" i="36"/>
  <c r="H57" i="36"/>
  <c r="H96" i="36"/>
  <c r="H44" i="36"/>
  <c r="H121" i="36"/>
  <c r="H69" i="36"/>
  <c r="H108" i="36"/>
  <c r="H56" i="36"/>
  <c r="H95" i="36"/>
  <c r="H43" i="36"/>
  <c r="H82" i="36"/>
  <c r="H134" i="36"/>
  <c r="I16" i="36" l="1"/>
  <c r="G70" i="19"/>
  <c r="G70" i="15"/>
  <c r="G70" i="16"/>
  <c r="G70" i="24"/>
  <c r="G70" i="20"/>
  <c r="G70" i="18"/>
  <c r="G70" i="17"/>
  <c r="G70" i="22"/>
  <c r="G70" i="21"/>
  <c r="G70" i="23"/>
  <c r="I17" i="36"/>
  <c r="G79" i="18"/>
  <c r="G79" i="19"/>
  <c r="G79" i="17"/>
  <c r="G79" i="15"/>
  <c r="G79" i="16"/>
  <c r="G79" i="22"/>
  <c r="G79" i="24"/>
  <c r="G79" i="21"/>
  <c r="G79" i="20"/>
  <c r="G79" i="23"/>
  <c r="I15" i="36"/>
  <c r="G61" i="18"/>
  <c r="G61" i="19"/>
  <c r="G61" i="17"/>
  <c r="G61" i="15"/>
  <c r="G61" i="16"/>
  <c r="G61" i="22"/>
  <c r="G61" i="24"/>
  <c r="G61" i="21"/>
  <c r="G61" i="20"/>
  <c r="G61" i="23"/>
  <c r="I11" i="36"/>
  <c r="G25" i="18"/>
  <c r="G25" i="17"/>
  <c r="G25" i="22"/>
  <c r="G25" i="21"/>
  <c r="G25" i="19"/>
  <c r="G25" i="15"/>
  <c r="G25" i="16"/>
  <c r="G25" i="24"/>
  <c r="G25" i="20"/>
  <c r="G25" i="23"/>
  <c r="I12" i="36"/>
  <c r="G34" i="19"/>
  <c r="G34" i="15"/>
  <c r="G34" i="24"/>
  <c r="G34" i="20"/>
  <c r="G34" i="23"/>
  <c r="G34" i="18"/>
  <c r="G34" i="17"/>
  <c r="G34" i="22"/>
  <c r="G34" i="21"/>
  <c r="I77" i="36"/>
  <c r="I31" i="36"/>
  <c r="I116" i="36"/>
  <c r="I38" i="36"/>
  <c r="I103" i="36"/>
  <c r="I41" i="36"/>
  <c r="I54" i="36"/>
  <c r="I25" i="36"/>
  <c r="I55" i="36"/>
  <c r="I63" i="36"/>
  <c r="I80" i="36"/>
  <c r="I76" i="36"/>
  <c r="I37" i="36"/>
  <c r="I43" i="36"/>
  <c r="I69" i="36"/>
  <c r="I28" i="36"/>
  <c r="I64" i="36"/>
  <c r="I51" i="36"/>
  <c r="I68" i="36"/>
  <c r="I42" i="36"/>
  <c r="I53" i="36"/>
  <c r="I50" i="36"/>
  <c r="I56" i="36"/>
  <c r="I81" i="36"/>
  <c r="I82" i="36"/>
  <c r="I67" i="36"/>
  <c r="I27" i="36"/>
  <c r="I29" i="36"/>
  <c r="I30" i="36"/>
  <c r="I79" i="36"/>
  <c r="I134" i="36"/>
  <c r="I108" i="36"/>
  <c r="I132" i="36"/>
  <c r="I128" i="36"/>
  <c r="I89" i="36"/>
  <c r="G17" i="23"/>
  <c r="G18" i="23" s="1"/>
  <c r="G19" i="23" s="1"/>
  <c r="G20" i="23" s="1"/>
  <c r="G17" i="15"/>
  <c r="G18" i="15" s="1"/>
  <c r="G19" i="15" s="1"/>
  <c r="G20" i="15" s="1"/>
  <c r="I115" i="36"/>
  <c r="I120" i="36"/>
  <c r="G17" i="16"/>
  <c r="G18" i="16" s="1"/>
  <c r="G19" i="16" s="1"/>
  <c r="G20" i="16" s="1"/>
  <c r="G17" i="21"/>
  <c r="G18" i="21" s="1"/>
  <c r="G19" i="21" s="1"/>
  <c r="G20" i="21" s="1"/>
  <c r="G17" i="24"/>
  <c r="G18" i="24" s="1"/>
  <c r="G19" i="24" s="1"/>
  <c r="G20" i="24" s="1"/>
  <c r="I106" i="36"/>
  <c r="G17" i="19"/>
  <c r="G18" i="19" s="1"/>
  <c r="G19" i="19" s="1"/>
  <c r="G20" i="19" s="1"/>
  <c r="I90" i="36"/>
  <c r="G17" i="22"/>
  <c r="G18" i="22" s="1"/>
  <c r="G19" i="22" s="1"/>
  <c r="G20" i="22" s="1"/>
  <c r="I133" i="36"/>
  <c r="I107" i="36"/>
  <c r="I102" i="36"/>
  <c r="G44" i="15"/>
  <c r="G45" i="15" s="1"/>
  <c r="G46" i="15" s="1"/>
  <c r="G47" i="15" s="1"/>
  <c r="G44" i="24"/>
  <c r="G45" i="24" s="1"/>
  <c r="G46" i="24" s="1"/>
  <c r="G47" i="24" s="1"/>
  <c r="G44" i="22"/>
  <c r="G45" i="22" s="1"/>
  <c r="G46" i="22" s="1"/>
  <c r="G47" i="22" s="1"/>
  <c r="G44" i="23"/>
  <c r="G45" i="23" s="1"/>
  <c r="G46" i="23" s="1"/>
  <c r="G47" i="23" s="1"/>
  <c r="G44" i="19"/>
  <c r="G45" i="19" s="1"/>
  <c r="G46" i="19" s="1"/>
  <c r="G47" i="19" s="1"/>
  <c r="G44" i="16"/>
  <c r="G45" i="16" s="1"/>
  <c r="G46" i="16" s="1"/>
  <c r="G47" i="16" s="1"/>
  <c r="G44" i="17"/>
  <c r="G45" i="17" s="1"/>
  <c r="G46" i="17" s="1"/>
  <c r="G47" i="17" s="1"/>
  <c r="G44" i="18"/>
  <c r="G45" i="18" s="1"/>
  <c r="G46" i="18" s="1"/>
  <c r="G47" i="18" s="1"/>
  <c r="G44" i="21"/>
  <c r="G45" i="21" s="1"/>
  <c r="G46" i="21" s="1"/>
  <c r="G47" i="21" s="1"/>
  <c r="G44" i="20"/>
  <c r="G45" i="20" s="1"/>
  <c r="G46" i="20" s="1"/>
  <c r="G47" i="20" s="1"/>
  <c r="I129" i="36"/>
  <c r="I94" i="36"/>
  <c r="G17" i="17"/>
  <c r="G18" i="17" s="1"/>
  <c r="G19" i="17" s="1"/>
  <c r="G20" i="17" s="1"/>
  <c r="I95" i="36"/>
  <c r="I121" i="36"/>
  <c r="I119" i="36"/>
  <c r="I93" i="36"/>
  <c r="G17" i="20"/>
  <c r="G18" i="20" s="1"/>
  <c r="I105" i="36"/>
  <c r="G53" i="21"/>
  <c r="G54" i="21" s="1"/>
  <c r="G55" i="21" s="1"/>
  <c r="G56" i="21" s="1"/>
  <c r="G53" i="16"/>
  <c r="G54" i="16" s="1"/>
  <c r="G55" i="16" s="1"/>
  <c r="G56" i="16" s="1"/>
  <c r="G53" i="20"/>
  <c r="G54" i="20" s="1"/>
  <c r="G55" i="20" s="1"/>
  <c r="G56" i="20" s="1"/>
  <c r="G53" i="17"/>
  <c r="G54" i="17" s="1"/>
  <c r="G55" i="17" s="1"/>
  <c r="G56" i="17" s="1"/>
  <c r="I18" i="36" l="1"/>
  <c r="G88" i="18"/>
  <c r="G88" i="19"/>
  <c r="G89" i="19" s="1"/>
  <c r="G90" i="19" s="1"/>
  <c r="G91" i="19" s="1"/>
  <c r="G92" i="19" s="1"/>
  <c r="G88" i="17"/>
  <c r="G89" i="17" s="1"/>
  <c r="G90" i="17" s="1"/>
  <c r="G91" i="17" s="1"/>
  <c r="G92" i="17" s="1"/>
  <c r="G88" i="15"/>
  <c r="G88" i="16"/>
  <c r="G89" i="16" s="1"/>
  <c r="G90" i="16" s="1"/>
  <c r="G91" i="16" s="1"/>
  <c r="G92" i="16" s="1"/>
  <c r="G88" i="22"/>
  <c r="G89" i="22" s="1"/>
  <c r="G90" i="22" s="1"/>
  <c r="G91" i="22" s="1"/>
  <c r="G92" i="22" s="1"/>
  <c r="G88" i="24"/>
  <c r="G89" i="24" s="1"/>
  <c r="G90" i="24" s="1"/>
  <c r="G91" i="24" s="1"/>
  <c r="G92" i="24" s="1"/>
  <c r="G88" i="21"/>
  <c r="G89" i="21" s="1"/>
  <c r="G90" i="21" s="1"/>
  <c r="G91" i="21" s="1"/>
  <c r="G92" i="21" s="1"/>
  <c r="G88" i="20"/>
  <c r="G88" i="23"/>
  <c r="G89" i="23" s="1"/>
  <c r="G90" i="23" s="1"/>
  <c r="G91" i="23" s="1"/>
  <c r="G92" i="23" s="1"/>
  <c r="I70" i="36"/>
  <c r="I83" i="36"/>
  <c r="I44" i="36"/>
  <c r="I57" i="36"/>
  <c r="I109" i="36"/>
  <c r="I122" i="36"/>
  <c r="G80" i="22"/>
  <c r="G81" i="22" s="1"/>
  <c r="G82" i="22" s="1"/>
  <c r="G83" i="22" s="1"/>
  <c r="I135" i="36"/>
  <c r="I96" i="36"/>
  <c r="G80" i="16"/>
  <c r="G81" i="16" s="1"/>
  <c r="G82" i="16" s="1"/>
  <c r="G83" i="16" s="1"/>
  <c r="G80" i="17"/>
  <c r="G81" i="17" s="1"/>
  <c r="G82" i="17" s="1"/>
  <c r="G83" i="17" s="1"/>
  <c r="G80" i="24"/>
  <c r="G81" i="24" s="1"/>
  <c r="G82" i="24" s="1"/>
  <c r="G83" i="24" s="1"/>
  <c r="G80" i="18"/>
  <c r="G81" i="18" s="1"/>
  <c r="G82" i="18" s="1"/>
  <c r="G83" i="18" s="1"/>
  <c r="G26" i="18"/>
  <c r="G27" i="18" s="1"/>
  <c r="G28" i="18" s="1"/>
  <c r="G29" i="18" s="1"/>
  <c r="G26" i="24"/>
  <c r="G27" i="24" s="1"/>
  <c r="G28" i="24" s="1"/>
  <c r="G29" i="24" s="1"/>
  <c r="G26" i="20"/>
  <c r="G27" i="20" s="1"/>
  <c r="G28" i="20" s="1"/>
  <c r="G29" i="20" s="1"/>
  <c r="G26" i="15"/>
  <c r="G27" i="15" s="1"/>
  <c r="G28" i="15" s="1"/>
  <c r="G29" i="15" s="1"/>
  <c r="G89" i="15"/>
  <c r="G90" i="15" s="1"/>
  <c r="G91" i="15" s="1"/>
  <c r="G92" i="15" s="1"/>
  <c r="G53" i="19"/>
  <c r="G54" i="19" s="1"/>
  <c r="G55" i="19" s="1"/>
  <c r="G56" i="19" s="1"/>
  <c r="G53" i="24"/>
  <c r="G54" i="24" s="1"/>
  <c r="G55" i="24" s="1"/>
  <c r="G56" i="24" s="1"/>
  <c r="G80" i="19"/>
  <c r="G81" i="19" s="1"/>
  <c r="G82" i="19" s="1"/>
  <c r="G83" i="19" s="1"/>
  <c r="G80" i="21"/>
  <c r="G81" i="21" s="1"/>
  <c r="G82" i="21" s="1"/>
  <c r="G83" i="21" s="1"/>
  <c r="G80" i="23"/>
  <c r="G81" i="23" s="1"/>
  <c r="G82" i="23" s="1"/>
  <c r="G83" i="23" s="1"/>
  <c r="G26" i="23"/>
  <c r="G27" i="23" s="1"/>
  <c r="G28" i="23" s="1"/>
  <c r="G29" i="23" s="1"/>
  <c r="G26" i="19"/>
  <c r="G27" i="19" s="1"/>
  <c r="G28" i="19" s="1"/>
  <c r="G29" i="19" s="1"/>
  <c r="G26" i="21"/>
  <c r="G27" i="21" s="1"/>
  <c r="G28" i="21" s="1"/>
  <c r="G29" i="21" s="1"/>
  <c r="G53" i="23"/>
  <c r="G54" i="23" s="1"/>
  <c r="G55" i="23" s="1"/>
  <c r="G56" i="23" s="1"/>
  <c r="G53" i="15"/>
  <c r="G54" i="15" s="1"/>
  <c r="G55" i="15" s="1"/>
  <c r="G56" i="15" s="1"/>
  <c r="G62" i="22"/>
  <c r="G63" i="22" s="1"/>
  <c r="G64" i="22" s="1"/>
  <c r="G65" i="22" s="1"/>
  <c r="G26" i="22"/>
  <c r="G27" i="22" s="1"/>
  <c r="G28" i="22" s="1"/>
  <c r="G29" i="22" s="1"/>
  <c r="G26" i="17"/>
  <c r="G27" i="17" s="1"/>
  <c r="G28" i="17" s="1"/>
  <c r="G29" i="17" s="1"/>
  <c r="G26" i="16"/>
  <c r="G27" i="16" s="1"/>
  <c r="G28" i="16" s="1"/>
  <c r="G29" i="16" s="1"/>
  <c r="G89" i="20"/>
  <c r="G90" i="20" s="1"/>
  <c r="G91" i="20" s="1"/>
  <c r="G92" i="20" s="1"/>
  <c r="G53" i="22"/>
  <c r="G54" i="22" s="1"/>
  <c r="G55" i="22" s="1"/>
  <c r="G56" i="22" s="1"/>
  <c r="G53" i="18"/>
  <c r="G54" i="18" s="1"/>
  <c r="G55" i="18" s="1"/>
  <c r="G56" i="18" s="1"/>
  <c r="G80" i="15"/>
  <c r="G81" i="15" s="1"/>
  <c r="G82" i="15" s="1"/>
  <c r="G83" i="15" s="1"/>
  <c r="G80" i="20"/>
  <c r="G81" i="20" s="1"/>
  <c r="G82" i="20" s="1"/>
  <c r="G83" i="20" s="1"/>
  <c r="G71" i="21"/>
  <c r="G72" i="21" s="1"/>
  <c r="G73" i="21" s="1"/>
  <c r="G74" i="21" s="1"/>
  <c r="G71" i="16"/>
  <c r="G72" i="16" s="1"/>
  <c r="G73" i="16" s="1"/>
  <c r="G74" i="16" s="1"/>
  <c r="G71" i="23"/>
  <c r="G72" i="23" s="1"/>
  <c r="G73" i="23" s="1"/>
  <c r="G74" i="23" s="1"/>
  <c r="G71" i="15"/>
  <c r="G72" i="15" s="1"/>
  <c r="G73" i="15" s="1"/>
  <c r="G74" i="15" s="1"/>
  <c r="G71" i="24"/>
  <c r="G72" i="24" s="1"/>
  <c r="G73" i="24" s="1"/>
  <c r="G74" i="24" s="1"/>
  <c r="G71" i="18"/>
  <c r="G72" i="18" s="1"/>
  <c r="G73" i="18" s="1"/>
  <c r="G74" i="18" s="1"/>
  <c r="G71" i="20"/>
  <c r="G72" i="20" s="1"/>
  <c r="G73" i="20" s="1"/>
  <c r="G74" i="20" s="1"/>
  <c r="G71" i="17"/>
  <c r="G72" i="17" s="1"/>
  <c r="G73" i="17" s="1"/>
  <c r="G74" i="17" s="1"/>
  <c r="G71" i="19"/>
  <c r="G72" i="19" s="1"/>
  <c r="G73" i="19" s="1"/>
  <c r="G74" i="19" s="1"/>
  <c r="G71" i="22"/>
  <c r="G72" i="22" s="1"/>
  <c r="G73" i="22" s="1"/>
  <c r="G74" i="22" s="1"/>
  <c r="G62" i="24"/>
  <c r="G63" i="24" s="1"/>
  <c r="G64" i="24" s="1"/>
  <c r="G65" i="24" s="1"/>
  <c r="G62" i="17"/>
  <c r="G63" i="17" s="1"/>
  <c r="G64" i="17" s="1"/>
  <c r="G65" i="17" s="1"/>
  <c r="G35" i="22"/>
  <c r="G36" i="22" s="1"/>
  <c r="G37" i="22" s="1"/>
  <c r="G38" i="22" s="1"/>
  <c r="G35" i="15"/>
  <c r="G36" i="15" s="1"/>
  <c r="G37" i="15" s="1"/>
  <c r="G38" i="15" s="1"/>
  <c r="G35" i="18"/>
  <c r="G36" i="18" s="1"/>
  <c r="G37" i="18" s="1"/>
  <c r="G38" i="18" s="1"/>
  <c r="G35" i="21"/>
  <c r="G36" i="21" s="1"/>
  <c r="G37" i="21" s="1"/>
  <c r="G38" i="21" s="1"/>
  <c r="G35" i="23"/>
  <c r="G36" i="23" s="1"/>
  <c r="G37" i="23" s="1"/>
  <c r="G38" i="23" s="1"/>
  <c r="G35" i="19"/>
  <c r="G36" i="19" s="1"/>
  <c r="G37" i="19" s="1"/>
  <c r="G38" i="19" s="1"/>
  <c r="G35" i="20"/>
  <c r="G36" i="20" s="1"/>
  <c r="G37" i="20" s="1"/>
  <c r="G38" i="20" s="1"/>
  <c r="G35" i="24"/>
  <c r="G36" i="24" s="1"/>
  <c r="G37" i="24" s="1"/>
  <c r="G38" i="24" s="1"/>
  <c r="G35" i="17"/>
  <c r="G36" i="17" s="1"/>
  <c r="G37" i="17" s="1"/>
  <c r="G38" i="17" s="1"/>
  <c r="G34" i="16"/>
  <c r="G35" i="16" s="1"/>
  <c r="G36" i="16" s="1"/>
  <c r="G37" i="16" s="1"/>
  <c r="G38" i="16" s="1"/>
  <c r="G19" i="20"/>
  <c r="G89" i="18" l="1"/>
  <c r="G90" i="18" s="1"/>
  <c r="G91" i="18" s="1"/>
  <c r="G92" i="18" s="1"/>
  <c r="G62" i="20"/>
  <c r="G63" i="20" s="1"/>
  <c r="G64" i="20" s="1"/>
  <c r="G65" i="20" s="1"/>
  <c r="G62" i="19"/>
  <c r="G63" i="19" s="1"/>
  <c r="G64" i="19" s="1"/>
  <c r="G65" i="19" s="1"/>
  <c r="G62" i="23"/>
  <c r="G63" i="23" s="1"/>
  <c r="G64" i="23" s="1"/>
  <c r="G65" i="23" s="1"/>
  <c r="G62" i="16"/>
  <c r="G63" i="16" s="1"/>
  <c r="G64" i="16" s="1"/>
  <c r="G65" i="16" s="1"/>
  <c r="G62" i="18"/>
  <c r="G63" i="18" s="1"/>
  <c r="G64" i="18" s="1"/>
  <c r="G65" i="18" s="1"/>
  <c r="G62" i="15"/>
  <c r="G63" i="15" s="1"/>
  <c r="G64" i="15" s="1"/>
  <c r="G65" i="15" s="1"/>
  <c r="G62" i="21"/>
  <c r="G63" i="21" s="1"/>
  <c r="G64" i="21" s="1"/>
  <c r="G65" i="21" s="1"/>
  <c r="G20" i="20"/>
  <c r="H5" i="23" l="1"/>
  <c r="P5" i="23" s="1"/>
  <c r="N16" i="23" l="1"/>
  <c r="O16" i="23" l="1"/>
  <c r="Q16" i="23" s="1"/>
  <c r="N25" i="23"/>
  <c r="N6" i="23"/>
  <c r="N7" i="23" s="1"/>
  <c r="N8" i="23" s="1"/>
  <c r="N9" i="23" s="1"/>
  <c r="O5" i="23"/>
  <c r="H6" i="23"/>
  <c r="P6" i="23" s="1"/>
  <c r="H7" i="23"/>
  <c r="P7" i="23" s="1"/>
  <c r="H8" i="23"/>
  <c r="P8" i="23" s="1"/>
  <c r="H9" i="23"/>
  <c r="P9" i="23" s="1"/>
  <c r="R16" i="23" l="1"/>
  <c r="N6" i="24"/>
  <c r="N7" i="24" s="1"/>
  <c r="N8" i="24" s="1"/>
  <c r="N9" i="24" s="1"/>
  <c r="N16" i="24"/>
  <c r="N6" i="21"/>
  <c r="N7" i="21" s="1"/>
  <c r="N8" i="21" s="1"/>
  <c r="N9" i="21" s="1"/>
  <c r="N16" i="21"/>
  <c r="N6" i="22"/>
  <c r="N7" i="22" s="1"/>
  <c r="N8" i="22" s="1"/>
  <c r="N9" i="22" s="1"/>
  <c r="N16" i="22"/>
  <c r="N6" i="17"/>
  <c r="N7" i="17" s="1"/>
  <c r="N8" i="17" s="1"/>
  <c r="N9" i="17" s="1"/>
  <c r="N16" i="17"/>
  <c r="N6" i="19"/>
  <c r="N7" i="19" s="1"/>
  <c r="N8" i="19" s="1"/>
  <c r="N9" i="19" s="1"/>
  <c r="N16" i="19"/>
  <c r="N34" i="23"/>
  <c r="N26" i="23"/>
  <c r="O25" i="23"/>
  <c r="Q25" i="23" s="1"/>
  <c r="N6" i="16"/>
  <c r="N7" i="16" s="1"/>
  <c r="N8" i="16" s="1"/>
  <c r="N9" i="16" s="1"/>
  <c r="N16" i="16"/>
  <c r="N6" i="15"/>
  <c r="N7" i="15" s="1"/>
  <c r="N8" i="15" s="1"/>
  <c r="N9" i="15" s="1"/>
  <c r="N16" i="15"/>
  <c r="N6" i="20"/>
  <c r="N7" i="20" s="1"/>
  <c r="N8" i="20" s="1"/>
  <c r="N9" i="20" s="1"/>
  <c r="N16" i="20"/>
  <c r="N6" i="18"/>
  <c r="N7" i="18" s="1"/>
  <c r="N8" i="18" s="1"/>
  <c r="N9" i="18" s="1"/>
  <c r="N16" i="18"/>
  <c r="N17" i="23"/>
  <c r="R25" i="23" l="1"/>
  <c r="N27" i="23"/>
  <c r="O26" i="23"/>
  <c r="Q26" i="23" s="1"/>
  <c r="R26" i="23" s="1"/>
  <c r="N17" i="20"/>
  <c r="N25" i="20"/>
  <c r="O16" i="20"/>
  <c r="Q16" i="20" s="1"/>
  <c r="N17" i="17"/>
  <c r="N25" i="17"/>
  <c r="O16" i="17"/>
  <c r="Q16" i="17" s="1"/>
  <c r="N17" i="18"/>
  <c r="N25" i="18"/>
  <c r="O16" i="18"/>
  <c r="Q16" i="18" s="1"/>
  <c r="N25" i="19"/>
  <c r="N17" i="19"/>
  <c r="O16" i="19"/>
  <c r="Q16" i="19" s="1"/>
  <c r="N17" i="15"/>
  <c r="N25" i="15"/>
  <c r="O16" i="15"/>
  <c r="Q16" i="15" s="1"/>
  <c r="N17" i="16"/>
  <c r="N25" i="16"/>
  <c r="O16" i="16"/>
  <c r="Q16" i="16" s="1"/>
  <c r="N17" i="24"/>
  <c r="N25" i="24"/>
  <c r="O16" i="24"/>
  <c r="Q16" i="24" s="1"/>
  <c r="N43" i="23"/>
  <c r="O34" i="23"/>
  <c r="Q34" i="23" s="1"/>
  <c r="N35" i="23"/>
  <c r="N25" i="21"/>
  <c r="N17" i="21"/>
  <c r="O16" i="21"/>
  <c r="N17" i="22"/>
  <c r="N25" i="22"/>
  <c r="O16" i="22"/>
  <c r="Q16" i="22" s="1"/>
  <c r="N18" i="23"/>
  <c r="O17" i="23"/>
  <c r="Q17" i="23" s="1"/>
  <c r="R16" i="22" l="1"/>
  <c r="R16" i="18"/>
  <c r="R16" i="19"/>
  <c r="R16" i="17"/>
  <c r="R17" i="23"/>
  <c r="R16" i="16"/>
  <c r="R16" i="21"/>
  <c r="R34" i="23"/>
  <c r="R16" i="24"/>
  <c r="R16" i="15"/>
  <c r="R16" i="20"/>
  <c r="N34" i="22"/>
  <c r="N26" i="22"/>
  <c r="O25" i="22"/>
  <c r="Q25" i="22" s="1"/>
  <c r="N18" i="22"/>
  <c r="O17" i="22"/>
  <c r="Q17" i="22" s="1"/>
  <c r="R17" i="22" s="1"/>
  <c r="N18" i="15"/>
  <c r="O17" i="15"/>
  <c r="Q17" i="15" s="1"/>
  <c r="R17" i="15" s="1"/>
  <c r="O25" i="17"/>
  <c r="Q25" i="17" s="1"/>
  <c r="N34" i="17"/>
  <c r="N26" i="17"/>
  <c r="N18" i="17"/>
  <c r="O17" i="17"/>
  <c r="Q17" i="17" s="1"/>
  <c r="R17" i="17" s="1"/>
  <c r="N18" i="24"/>
  <c r="O17" i="24"/>
  <c r="Q17" i="24" s="1"/>
  <c r="R17" i="24" s="1"/>
  <c r="N18" i="20"/>
  <c r="O17" i="20"/>
  <c r="Q17" i="20" s="1"/>
  <c r="R17" i="20" s="1"/>
  <c r="O17" i="21"/>
  <c r="Q17" i="21" s="1"/>
  <c r="N18" i="21"/>
  <c r="N18" i="19"/>
  <c r="O17" i="19"/>
  <c r="Q17" i="19" s="1"/>
  <c r="R17" i="19" s="1"/>
  <c r="N26" i="19"/>
  <c r="N34" i="19"/>
  <c r="O25" i="19"/>
  <c r="Q25" i="19" s="1"/>
  <c r="O25" i="20"/>
  <c r="Q25" i="20" s="1"/>
  <c r="N34" i="20"/>
  <c r="N26" i="20"/>
  <c r="O35" i="23"/>
  <c r="Q35" i="23" s="1"/>
  <c r="R35" i="23" s="1"/>
  <c r="N36" i="23"/>
  <c r="N34" i="16"/>
  <c r="N26" i="16"/>
  <c r="O25" i="16"/>
  <c r="Q25" i="16" s="1"/>
  <c r="N18" i="16"/>
  <c r="O17" i="16"/>
  <c r="Q17" i="16" s="1"/>
  <c r="R17" i="16" s="1"/>
  <c r="N34" i="18"/>
  <c r="N26" i="18"/>
  <c r="O25" i="18"/>
  <c r="Q25" i="18" s="1"/>
  <c r="N26" i="15"/>
  <c r="N34" i="15"/>
  <c r="O25" i="15"/>
  <c r="Q25" i="15" s="1"/>
  <c r="N34" i="24"/>
  <c r="O25" i="24"/>
  <c r="Q25" i="24" s="1"/>
  <c r="N26" i="24"/>
  <c r="N26" i="21"/>
  <c r="N34" i="21"/>
  <c r="O25" i="21"/>
  <c r="Q25" i="21" s="1"/>
  <c r="N52" i="23"/>
  <c r="N44" i="23"/>
  <c r="O43" i="23"/>
  <c r="Q43" i="23" s="1"/>
  <c r="N18" i="18"/>
  <c r="O17" i="18"/>
  <c r="Q17" i="18" s="1"/>
  <c r="R17" i="18" s="1"/>
  <c r="O27" i="23"/>
  <c r="Q27" i="23" s="1"/>
  <c r="R27" i="23" s="1"/>
  <c r="N28" i="23"/>
  <c r="O18" i="23"/>
  <c r="Q18" i="23" s="1"/>
  <c r="R18" i="23" s="1"/>
  <c r="N19" i="23"/>
  <c r="G6" i="17"/>
  <c r="G7" i="17" s="1"/>
  <c r="G8" i="17" s="1"/>
  <c r="G9" i="17" s="1"/>
  <c r="G6" i="20"/>
  <c r="G7" i="20" s="1"/>
  <c r="G8" i="20" s="1"/>
  <c r="G9" i="20" s="1"/>
  <c r="G6" i="15"/>
  <c r="G6" i="22"/>
  <c r="G7" i="22" s="1"/>
  <c r="G8" i="22" s="1"/>
  <c r="G9" i="22" s="1"/>
  <c r="G6" i="18"/>
  <c r="G6" i="16"/>
  <c r="G7" i="16" s="1"/>
  <c r="G8" i="16" s="1"/>
  <c r="G9" i="16" s="1"/>
  <c r="G6" i="24"/>
  <c r="G7" i="24" s="1"/>
  <c r="G8" i="24" s="1"/>
  <c r="G9" i="24" s="1"/>
  <c r="G6" i="19"/>
  <c r="G7" i="19" s="1"/>
  <c r="G8" i="19" s="1"/>
  <c r="G9" i="19" s="1"/>
  <c r="G6" i="21"/>
  <c r="G7" i="21" s="1"/>
  <c r="G8" i="21" s="1"/>
  <c r="G9" i="21" s="1"/>
  <c r="R17" i="21" l="1"/>
  <c r="G7" i="18"/>
  <c r="G7" i="15"/>
  <c r="R25" i="22"/>
  <c r="R25" i="19"/>
  <c r="R25" i="18"/>
  <c r="R25" i="17"/>
  <c r="R25" i="21"/>
  <c r="R25" i="24"/>
  <c r="R25" i="15"/>
  <c r="R25" i="16"/>
  <c r="R43" i="23"/>
  <c r="R25" i="20"/>
  <c r="O44" i="23"/>
  <c r="Q44" i="23" s="1"/>
  <c r="R44" i="23" s="1"/>
  <c r="N45" i="23"/>
  <c r="N27" i="18"/>
  <c r="O26" i="18"/>
  <c r="Q26" i="18" s="1"/>
  <c r="R26" i="18" s="1"/>
  <c r="O18" i="19"/>
  <c r="Q18" i="19" s="1"/>
  <c r="R18" i="19" s="1"/>
  <c r="N19" i="19"/>
  <c r="N19" i="24"/>
  <c r="O18" i="24"/>
  <c r="Q18" i="24" s="1"/>
  <c r="R18" i="24" s="1"/>
  <c r="N19" i="15"/>
  <c r="O18" i="15"/>
  <c r="Q18" i="15" s="1"/>
  <c r="R18" i="15" s="1"/>
  <c r="N27" i="24"/>
  <c r="O26" i="24"/>
  <c r="Q26" i="24" s="1"/>
  <c r="R26" i="24" s="1"/>
  <c r="N35" i="18"/>
  <c r="N43" i="18"/>
  <c r="O34" i="18"/>
  <c r="Q34" i="18" s="1"/>
  <c r="N27" i="20"/>
  <c r="O26" i="20"/>
  <c r="Q26" i="20" s="1"/>
  <c r="R26" i="20" s="1"/>
  <c r="O18" i="21"/>
  <c r="Q18" i="21" s="1"/>
  <c r="R18" i="21" s="1"/>
  <c r="N19" i="21"/>
  <c r="N43" i="24"/>
  <c r="N35" i="24"/>
  <c r="O34" i="24"/>
  <c r="Q34" i="24" s="1"/>
  <c r="N19" i="16"/>
  <c r="O18" i="16"/>
  <c r="Q18" i="16" s="1"/>
  <c r="R18" i="16" s="1"/>
  <c r="O18" i="22"/>
  <c r="Q18" i="22" s="1"/>
  <c r="R18" i="22" s="1"/>
  <c r="N19" i="22"/>
  <c r="N43" i="15"/>
  <c r="N35" i="15"/>
  <c r="O34" i="15"/>
  <c r="Q34" i="15" s="1"/>
  <c r="O26" i="16"/>
  <c r="Q26" i="16" s="1"/>
  <c r="R26" i="16" s="1"/>
  <c r="N27" i="16"/>
  <c r="N43" i="19"/>
  <c r="N35" i="19"/>
  <c r="O34" i="19"/>
  <c r="Q34" i="19" s="1"/>
  <c r="O18" i="20"/>
  <c r="Q18" i="20" s="1"/>
  <c r="R18" i="20" s="1"/>
  <c r="N19" i="20"/>
  <c r="N35" i="17"/>
  <c r="N43" i="17"/>
  <c r="O34" i="17"/>
  <c r="Q34" i="17" s="1"/>
  <c r="N35" i="20"/>
  <c r="N43" i="20"/>
  <c r="O34" i="20"/>
  <c r="Q34" i="20" s="1"/>
  <c r="O18" i="17"/>
  <c r="Q18" i="17" s="1"/>
  <c r="R18" i="17" s="1"/>
  <c r="N19" i="17"/>
  <c r="N61" i="23"/>
  <c r="O52" i="23"/>
  <c r="Q52" i="23" s="1"/>
  <c r="N53" i="23"/>
  <c r="O28" i="23"/>
  <c r="Q28" i="23" s="1"/>
  <c r="N29" i="23"/>
  <c r="O29" i="23" s="1"/>
  <c r="Q29" i="23" s="1"/>
  <c r="R29" i="23" s="1"/>
  <c r="N27" i="17"/>
  <c r="O26" i="17"/>
  <c r="Q26" i="17" s="1"/>
  <c r="R26" i="17" s="1"/>
  <c r="N35" i="21"/>
  <c r="N43" i="21"/>
  <c r="O34" i="21"/>
  <c r="Q34" i="21" s="1"/>
  <c r="N27" i="15"/>
  <c r="O26" i="15"/>
  <c r="Q26" i="15" s="1"/>
  <c r="R26" i="15" s="1"/>
  <c r="N35" i="16"/>
  <c r="N43" i="16"/>
  <c r="O34" i="16"/>
  <c r="Q34" i="16" s="1"/>
  <c r="N27" i="19"/>
  <c r="O26" i="19"/>
  <c r="Q26" i="19" s="1"/>
  <c r="R26" i="19" s="1"/>
  <c r="N27" i="22"/>
  <c r="O26" i="22"/>
  <c r="Q26" i="22" s="1"/>
  <c r="R26" i="22" s="1"/>
  <c r="O18" i="18"/>
  <c r="Q18" i="18" s="1"/>
  <c r="R18" i="18" s="1"/>
  <c r="N19" i="18"/>
  <c r="N27" i="21"/>
  <c r="O26" i="21"/>
  <c r="Q26" i="21" s="1"/>
  <c r="R26" i="21" s="1"/>
  <c r="N37" i="23"/>
  <c r="O36" i="23"/>
  <c r="N43" i="22"/>
  <c r="N35" i="22"/>
  <c r="O34" i="22"/>
  <c r="Q34" i="22" s="1"/>
  <c r="O19" i="23"/>
  <c r="Q19" i="23" s="1"/>
  <c r="R19" i="23" s="1"/>
  <c r="N20" i="23"/>
  <c r="O20" i="23" s="1"/>
  <c r="Q20" i="23" s="1"/>
  <c r="R20" i="23" s="1"/>
  <c r="G6" i="23"/>
  <c r="G7" i="23" s="1"/>
  <c r="G8" i="23" s="1"/>
  <c r="G9" i="23" s="1"/>
  <c r="G8" i="18" l="1"/>
  <c r="G8" i="15"/>
  <c r="R34" i="15"/>
  <c r="R34" i="22"/>
  <c r="R28" i="23"/>
  <c r="R30" i="23" s="1"/>
  <c r="J11" i="36" s="1"/>
  <c r="K11" i="36" s="1"/>
  <c r="L11" i="36" s="1"/>
  <c r="Q30" i="23"/>
  <c r="Q21" i="23"/>
  <c r="R21" i="23"/>
  <c r="R34" i="17"/>
  <c r="R34" i="18"/>
  <c r="R34" i="19"/>
  <c r="R34" i="21"/>
  <c r="R52" i="23"/>
  <c r="R34" i="20"/>
  <c r="R34" i="24"/>
  <c r="R34" i="16"/>
  <c r="N52" i="22"/>
  <c r="N44" i="22"/>
  <c r="O43" i="22"/>
  <c r="Q43" i="22" s="1"/>
  <c r="O27" i="20"/>
  <c r="Q27" i="20" s="1"/>
  <c r="N28" i="20"/>
  <c r="Q36" i="23"/>
  <c r="N20" i="20"/>
  <c r="O20" i="20" s="1"/>
  <c r="Q20" i="20" s="1"/>
  <c r="R20" i="20" s="1"/>
  <c r="O19" i="20"/>
  <c r="Q19" i="20" s="1"/>
  <c r="N36" i="15"/>
  <c r="O35" i="15"/>
  <c r="Q35" i="15" s="1"/>
  <c r="R35" i="15" s="1"/>
  <c r="O19" i="16"/>
  <c r="Q19" i="16" s="1"/>
  <c r="R19" i="16" s="1"/>
  <c r="N20" i="16"/>
  <c r="O20" i="16" s="1"/>
  <c r="Q20" i="16" s="1"/>
  <c r="R20" i="16" s="1"/>
  <c r="N20" i="24"/>
  <c r="O20" i="24" s="1"/>
  <c r="Q20" i="24" s="1"/>
  <c r="R20" i="24" s="1"/>
  <c r="O19" i="24"/>
  <c r="Q19" i="24" s="1"/>
  <c r="R19" i="24" s="1"/>
  <c r="N38" i="23"/>
  <c r="O38" i="23" s="1"/>
  <c r="Q38" i="23" s="1"/>
  <c r="R38" i="23" s="1"/>
  <c r="O37" i="23"/>
  <c r="Q37" i="23" s="1"/>
  <c r="R37" i="23" s="1"/>
  <c r="N36" i="16"/>
  <c r="O35" i="16"/>
  <c r="Q35" i="16" s="1"/>
  <c r="R35" i="16" s="1"/>
  <c r="N52" i="15"/>
  <c r="N44" i="15"/>
  <c r="O43" i="15"/>
  <c r="Q43" i="15" s="1"/>
  <c r="N52" i="18"/>
  <c r="N44" i="18"/>
  <c r="O43" i="18"/>
  <c r="Q43" i="18" s="1"/>
  <c r="O19" i="19"/>
  <c r="Q19" i="19" s="1"/>
  <c r="R19" i="19" s="1"/>
  <c r="N20" i="19"/>
  <c r="O20" i="19" s="1"/>
  <c r="Q20" i="19" s="1"/>
  <c r="R20" i="19" s="1"/>
  <c r="O43" i="20"/>
  <c r="Q43" i="20" s="1"/>
  <c r="N52" i="20"/>
  <c r="N44" i="20"/>
  <c r="N36" i="24"/>
  <c r="O35" i="24"/>
  <c r="Q35" i="24" s="1"/>
  <c r="R35" i="24" s="1"/>
  <c r="O35" i="18"/>
  <c r="Q35" i="18" s="1"/>
  <c r="R35" i="18" s="1"/>
  <c r="N36" i="18"/>
  <c r="N52" i="24"/>
  <c r="N44" i="24"/>
  <c r="O43" i="24"/>
  <c r="Q43" i="24" s="1"/>
  <c r="O19" i="17"/>
  <c r="Q19" i="17" s="1"/>
  <c r="R19" i="17" s="1"/>
  <c r="N20" i="17"/>
  <c r="O20" i="17" s="1"/>
  <c r="Q20" i="17" s="1"/>
  <c r="R20" i="17" s="1"/>
  <c r="N36" i="17"/>
  <c r="O35" i="17"/>
  <c r="Q35" i="17" s="1"/>
  <c r="R35" i="17" s="1"/>
  <c r="N44" i="16"/>
  <c r="N52" i="16"/>
  <c r="O43" i="16"/>
  <c r="Q43" i="16" s="1"/>
  <c r="O27" i="17"/>
  <c r="Q27" i="17" s="1"/>
  <c r="R27" i="17" s="1"/>
  <c r="N28" i="17"/>
  <c r="N28" i="22"/>
  <c r="O27" i="22"/>
  <c r="Q27" i="22" s="1"/>
  <c r="R27" i="22" s="1"/>
  <c r="N28" i="15"/>
  <c r="O27" i="15"/>
  <c r="Q27" i="15" s="1"/>
  <c r="R27" i="15" s="1"/>
  <c r="O35" i="20"/>
  <c r="Q35" i="20" s="1"/>
  <c r="R35" i="20" s="1"/>
  <c r="N36" i="20"/>
  <c r="N36" i="19"/>
  <c r="O35" i="19"/>
  <c r="Q35" i="19" s="1"/>
  <c r="R35" i="19" s="1"/>
  <c r="N28" i="21"/>
  <c r="O27" i="21"/>
  <c r="Q27" i="21" s="1"/>
  <c r="O53" i="23"/>
  <c r="Q53" i="23" s="1"/>
  <c r="R53" i="23" s="1"/>
  <c r="N54" i="23"/>
  <c r="N52" i="19"/>
  <c r="N44" i="19"/>
  <c r="O43" i="19"/>
  <c r="Q43" i="19" s="1"/>
  <c r="O19" i="21"/>
  <c r="Q19" i="21" s="1"/>
  <c r="N20" i="21"/>
  <c r="O20" i="21" s="1"/>
  <c r="Q20" i="21" s="1"/>
  <c r="R20" i="21" s="1"/>
  <c r="O27" i="24"/>
  <c r="Q27" i="24" s="1"/>
  <c r="N28" i="24"/>
  <c r="N28" i="18"/>
  <c r="O27" i="18"/>
  <c r="Q27" i="18" s="1"/>
  <c r="R27" i="18" s="1"/>
  <c r="N20" i="18"/>
  <c r="O20" i="18" s="1"/>
  <c r="Q20" i="18" s="1"/>
  <c r="R20" i="18" s="1"/>
  <c r="O19" i="18"/>
  <c r="Q19" i="18" s="1"/>
  <c r="R19" i="18" s="1"/>
  <c r="N52" i="21"/>
  <c r="N44" i="21"/>
  <c r="O43" i="21"/>
  <c r="Q43" i="21" s="1"/>
  <c r="O27" i="16"/>
  <c r="Q27" i="16" s="1"/>
  <c r="R27" i="16" s="1"/>
  <c r="N28" i="16"/>
  <c r="N20" i="22"/>
  <c r="O20" i="22" s="1"/>
  <c r="Q20" i="22" s="1"/>
  <c r="R20" i="22" s="1"/>
  <c r="O19" i="22"/>
  <c r="Q19" i="22" s="1"/>
  <c r="R19" i="22" s="1"/>
  <c r="N46" i="23"/>
  <c r="O45" i="23"/>
  <c r="Q45" i="23" s="1"/>
  <c r="N36" i="22"/>
  <c r="O35" i="22"/>
  <c r="Q35" i="22" s="1"/>
  <c r="R35" i="22" s="1"/>
  <c r="N28" i="19"/>
  <c r="O27" i="19"/>
  <c r="Q27" i="19" s="1"/>
  <c r="R27" i="19" s="1"/>
  <c r="N36" i="21"/>
  <c r="O35" i="21"/>
  <c r="Q35" i="21" s="1"/>
  <c r="R35" i="21" s="1"/>
  <c r="O61" i="23"/>
  <c r="Q61" i="23" s="1"/>
  <c r="N70" i="23"/>
  <c r="N62" i="23"/>
  <c r="N52" i="17"/>
  <c r="N44" i="17"/>
  <c r="O43" i="17"/>
  <c r="Q43" i="17" s="1"/>
  <c r="O19" i="15"/>
  <c r="Q19" i="15" s="1"/>
  <c r="R19" i="15" s="1"/>
  <c r="N20" i="15"/>
  <c r="O20" i="15" s="1"/>
  <c r="Q20" i="15" s="1"/>
  <c r="R20" i="15" s="1"/>
  <c r="R21" i="18" l="1"/>
  <c r="R21" i="24"/>
  <c r="R21" i="15"/>
  <c r="J88" i="36" s="1"/>
  <c r="K88" i="36" s="1"/>
  <c r="R21" i="17"/>
  <c r="J101" i="36" s="1"/>
  <c r="K101" i="36" s="1"/>
  <c r="R19" i="21"/>
  <c r="R21" i="21" s="1"/>
  <c r="Q21" i="21"/>
  <c r="R21" i="19"/>
  <c r="J114" i="36" s="1"/>
  <c r="K114" i="36" s="1"/>
  <c r="J10" i="36"/>
  <c r="K10" i="36" s="1"/>
  <c r="L10" i="36" s="1"/>
  <c r="Q21" i="17"/>
  <c r="R21" i="22"/>
  <c r="R27" i="24"/>
  <c r="R21" i="16"/>
  <c r="Q21" i="24"/>
  <c r="G9" i="18"/>
  <c r="Q21" i="18"/>
  <c r="Q21" i="19"/>
  <c r="G9" i="15"/>
  <c r="Q21" i="15"/>
  <c r="Q21" i="16"/>
  <c r="Q21" i="22"/>
  <c r="R43" i="22"/>
  <c r="R19" i="20"/>
  <c r="R21" i="20" s="1"/>
  <c r="J23" i="36" s="1"/>
  <c r="K23" i="36" s="1"/>
  <c r="L23" i="36" s="1"/>
  <c r="Q21" i="20"/>
  <c r="Q39" i="23"/>
  <c r="R43" i="17"/>
  <c r="R43" i="19"/>
  <c r="R43" i="18"/>
  <c r="R61" i="23"/>
  <c r="R43" i="24"/>
  <c r="R36" i="23"/>
  <c r="R27" i="20"/>
  <c r="R45" i="23"/>
  <c r="R43" i="21"/>
  <c r="R27" i="21"/>
  <c r="R43" i="16"/>
  <c r="R43" i="20"/>
  <c r="R43" i="15"/>
  <c r="J62" i="36"/>
  <c r="K62" i="36" s="1"/>
  <c r="J127" i="36"/>
  <c r="K127" i="36" s="1"/>
  <c r="J75" i="36"/>
  <c r="K75" i="36" s="1"/>
  <c r="J49" i="36"/>
  <c r="K49" i="36" s="1"/>
  <c r="N29" i="16"/>
  <c r="O29" i="16" s="1"/>
  <c r="Q29" i="16" s="1"/>
  <c r="R29" i="16" s="1"/>
  <c r="O28" i="16"/>
  <c r="Q28" i="16" s="1"/>
  <c r="R28" i="16" s="1"/>
  <c r="N37" i="19"/>
  <c r="O36" i="19"/>
  <c r="Q36" i="19" s="1"/>
  <c r="R36" i="19" s="1"/>
  <c r="N53" i="17"/>
  <c r="N61" i="17"/>
  <c r="O52" i="17"/>
  <c r="Q52" i="17" s="1"/>
  <c r="N53" i="19"/>
  <c r="N61" i="19"/>
  <c r="O52" i="19"/>
  <c r="Q52" i="19" s="1"/>
  <c r="O36" i="20"/>
  <c r="Q36" i="20" s="1"/>
  <c r="R36" i="20" s="1"/>
  <c r="N37" i="20"/>
  <c r="N37" i="24"/>
  <c r="O36" i="24"/>
  <c r="Q36" i="24" s="1"/>
  <c r="N53" i="18"/>
  <c r="N61" i="18"/>
  <c r="O52" i="18"/>
  <c r="Q52" i="18" s="1"/>
  <c r="O44" i="22"/>
  <c r="Q44" i="22" s="1"/>
  <c r="R44" i="22" s="1"/>
  <c r="N45" i="22"/>
  <c r="O62" i="23"/>
  <c r="Q62" i="23" s="1"/>
  <c r="R62" i="23" s="1"/>
  <c r="N63" i="23"/>
  <c r="N37" i="22"/>
  <c r="O36" i="22"/>
  <c r="Q36" i="22" s="1"/>
  <c r="R36" i="22" s="1"/>
  <c r="N29" i="18"/>
  <c r="O29" i="18" s="1"/>
  <c r="Q29" i="18" s="1"/>
  <c r="R29" i="18" s="1"/>
  <c r="O28" i="18"/>
  <c r="Q28" i="18" s="1"/>
  <c r="R28" i="18" s="1"/>
  <c r="N55" i="23"/>
  <c r="O54" i="23"/>
  <c r="Q54" i="23" s="1"/>
  <c r="O44" i="20"/>
  <c r="Q44" i="20" s="1"/>
  <c r="R44" i="20" s="1"/>
  <c r="N45" i="20"/>
  <c r="N61" i="22"/>
  <c r="N53" i="22"/>
  <c r="O52" i="22"/>
  <c r="Q52" i="22" s="1"/>
  <c r="O70" i="23"/>
  <c r="Q70" i="23" s="1"/>
  <c r="N79" i="23"/>
  <c r="N71" i="23"/>
  <c r="O52" i="16"/>
  <c r="Q52" i="16" s="1"/>
  <c r="N61" i="16"/>
  <c r="N53" i="16"/>
  <c r="O44" i="24"/>
  <c r="Q44" i="24" s="1"/>
  <c r="R44" i="24" s="1"/>
  <c r="N45" i="24"/>
  <c r="N53" i="20"/>
  <c r="N61" i="20"/>
  <c r="O52" i="20"/>
  <c r="Q52" i="20" s="1"/>
  <c r="N45" i="15"/>
  <c r="O44" i="15"/>
  <c r="Q44" i="15" s="1"/>
  <c r="R44" i="15" s="1"/>
  <c r="N29" i="15"/>
  <c r="O29" i="15" s="1"/>
  <c r="Q29" i="15" s="1"/>
  <c r="R29" i="15" s="1"/>
  <c r="O28" i="15"/>
  <c r="Q28" i="15" s="1"/>
  <c r="R28" i="15" s="1"/>
  <c r="N45" i="16"/>
  <c r="O44" i="16"/>
  <c r="Q44" i="16" s="1"/>
  <c r="R44" i="16" s="1"/>
  <c r="N53" i="24"/>
  <c r="N61" i="24"/>
  <c r="O52" i="24"/>
  <c r="Q52" i="24" s="1"/>
  <c r="N53" i="15"/>
  <c r="N61" i="15"/>
  <c r="O52" i="15"/>
  <c r="Q52" i="15" s="1"/>
  <c r="N53" i="21"/>
  <c r="N61" i="21"/>
  <c r="O52" i="21"/>
  <c r="Q52" i="21" s="1"/>
  <c r="N29" i="20"/>
  <c r="O29" i="20" s="1"/>
  <c r="Q29" i="20" s="1"/>
  <c r="R29" i="20" s="1"/>
  <c r="O28" i="20"/>
  <c r="Q28" i="20" s="1"/>
  <c r="R28" i="20" s="1"/>
  <c r="N29" i="19"/>
  <c r="O29" i="19" s="1"/>
  <c r="Q29" i="19" s="1"/>
  <c r="R29" i="19" s="1"/>
  <c r="O28" i="19"/>
  <c r="Q28" i="19" s="1"/>
  <c r="R28" i="19" s="1"/>
  <c r="O44" i="19"/>
  <c r="Q44" i="19" s="1"/>
  <c r="R44" i="19" s="1"/>
  <c r="N45" i="19"/>
  <c r="N45" i="18"/>
  <c r="O44" i="18"/>
  <c r="Q44" i="18" s="1"/>
  <c r="R44" i="18" s="1"/>
  <c r="N29" i="24"/>
  <c r="O29" i="24" s="1"/>
  <c r="Q29" i="24" s="1"/>
  <c r="R29" i="24" s="1"/>
  <c r="O28" i="24"/>
  <c r="Q28" i="24" s="1"/>
  <c r="J36" i="36"/>
  <c r="K36" i="36" s="1"/>
  <c r="O28" i="21"/>
  <c r="Q28" i="21" s="1"/>
  <c r="N29" i="21"/>
  <c r="O29" i="21" s="1"/>
  <c r="Q29" i="21" s="1"/>
  <c r="R29" i="21" s="1"/>
  <c r="O28" i="22"/>
  <c r="Q28" i="22" s="1"/>
  <c r="R28" i="22" s="1"/>
  <c r="N29" i="22"/>
  <c r="O29" i="22" s="1"/>
  <c r="Q29" i="22" s="1"/>
  <c r="R29" i="22" s="1"/>
  <c r="O36" i="18"/>
  <c r="Q36" i="18" s="1"/>
  <c r="R36" i="18" s="1"/>
  <c r="N37" i="18"/>
  <c r="N45" i="17"/>
  <c r="O44" i="17"/>
  <c r="Q44" i="17" s="1"/>
  <c r="R44" i="17" s="1"/>
  <c r="N29" i="17"/>
  <c r="O29" i="17" s="1"/>
  <c r="Q29" i="17" s="1"/>
  <c r="R29" i="17" s="1"/>
  <c r="O28" i="17"/>
  <c r="Q28" i="17" s="1"/>
  <c r="R28" i="17" s="1"/>
  <c r="O46" i="23"/>
  <c r="Q46" i="23" s="1"/>
  <c r="R46" i="23" s="1"/>
  <c r="N47" i="23"/>
  <c r="O47" i="23" s="1"/>
  <c r="Q47" i="23" s="1"/>
  <c r="R47" i="23" s="1"/>
  <c r="N45" i="21"/>
  <c r="O44" i="21"/>
  <c r="Q44" i="21" s="1"/>
  <c r="R44" i="21" s="1"/>
  <c r="N37" i="21"/>
  <c r="O36" i="21"/>
  <c r="Q36" i="21" s="1"/>
  <c r="O36" i="17"/>
  <c r="Q36" i="17" s="1"/>
  <c r="R36" i="17" s="1"/>
  <c r="N37" i="17"/>
  <c r="O36" i="16"/>
  <c r="Q36" i="16" s="1"/>
  <c r="R36" i="16" s="1"/>
  <c r="N37" i="16"/>
  <c r="N37" i="15"/>
  <c r="O36" i="15"/>
  <c r="Q36" i="15" s="1"/>
  <c r="R30" i="17" l="1"/>
  <c r="R30" i="22"/>
  <c r="Q30" i="24"/>
  <c r="R30" i="19"/>
  <c r="J115" i="36" s="1"/>
  <c r="K115" i="36" s="1"/>
  <c r="L115" i="36" s="1"/>
  <c r="R30" i="16"/>
  <c r="J76" i="36" s="1"/>
  <c r="K76" i="36" s="1"/>
  <c r="L76" i="36" s="1"/>
  <c r="R30" i="18"/>
  <c r="Q30" i="21"/>
  <c r="Q30" i="17"/>
  <c r="Q30" i="18"/>
  <c r="Q30" i="19"/>
  <c r="R30" i="15"/>
  <c r="R36" i="15"/>
  <c r="Q30" i="15"/>
  <c r="Q30" i="16"/>
  <c r="R52" i="22"/>
  <c r="Q30" i="22"/>
  <c r="R28" i="21"/>
  <c r="R48" i="23"/>
  <c r="R30" i="20"/>
  <c r="J24" i="36" s="1"/>
  <c r="K24" i="36" s="1"/>
  <c r="L24" i="36" s="1"/>
  <c r="R39" i="23"/>
  <c r="J12" i="36" s="1"/>
  <c r="K12" i="36" s="1"/>
  <c r="L12" i="36" s="1"/>
  <c r="R54" i="23"/>
  <c r="Q30" i="20"/>
  <c r="Q48" i="23"/>
  <c r="R52" i="18"/>
  <c r="R52" i="17"/>
  <c r="R52" i="19"/>
  <c r="R36" i="21"/>
  <c r="R28" i="24"/>
  <c r="R30" i="24" s="1"/>
  <c r="J50" i="36" s="1"/>
  <c r="K50" i="36" s="1"/>
  <c r="L50" i="36" s="1"/>
  <c r="R52" i="21"/>
  <c r="R52" i="24"/>
  <c r="R52" i="16"/>
  <c r="R36" i="24"/>
  <c r="R52" i="15"/>
  <c r="R52" i="20"/>
  <c r="R70" i="23"/>
  <c r="L127" i="36"/>
  <c r="L114" i="36"/>
  <c r="L62" i="36"/>
  <c r="L101" i="36"/>
  <c r="L49" i="36"/>
  <c r="L88" i="36"/>
  <c r="L75" i="36"/>
  <c r="J102" i="36"/>
  <c r="K102" i="36" s="1"/>
  <c r="L102" i="36" s="1"/>
  <c r="J89" i="36"/>
  <c r="K89" i="36" s="1"/>
  <c r="L89" i="36" s="1"/>
  <c r="J128" i="36"/>
  <c r="K128" i="36" s="1"/>
  <c r="L128" i="36" s="1"/>
  <c r="O53" i="24"/>
  <c r="Q53" i="24" s="1"/>
  <c r="R53" i="24" s="1"/>
  <c r="N54" i="24"/>
  <c r="N38" i="22"/>
  <c r="O38" i="22" s="1"/>
  <c r="Q38" i="22" s="1"/>
  <c r="R38" i="22" s="1"/>
  <c r="O37" i="22"/>
  <c r="Q37" i="22" s="1"/>
  <c r="R37" i="22" s="1"/>
  <c r="O37" i="15"/>
  <c r="Q37" i="15" s="1"/>
  <c r="R37" i="15" s="1"/>
  <c r="N38" i="15"/>
  <c r="O38" i="15" s="1"/>
  <c r="Q38" i="15" s="1"/>
  <c r="R38" i="15" s="1"/>
  <c r="N38" i="21"/>
  <c r="O38" i="21" s="1"/>
  <c r="Q38" i="21" s="1"/>
  <c r="R38" i="21" s="1"/>
  <c r="O37" i="21"/>
  <c r="Q37" i="21" s="1"/>
  <c r="R37" i="21" s="1"/>
  <c r="N38" i="17"/>
  <c r="O38" i="17" s="1"/>
  <c r="Q38" i="17" s="1"/>
  <c r="R38" i="17" s="1"/>
  <c r="O37" i="17"/>
  <c r="Q37" i="17" s="1"/>
  <c r="R37" i="17" s="1"/>
  <c r="O45" i="17"/>
  <c r="Q45" i="17" s="1"/>
  <c r="R45" i="17" s="1"/>
  <c r="N46" i="17"/>
  <c r="N54" i="15"/>
  <c r="O53" i="15"/>
  <c r="Q53" i="15" s="1"/>
  <c r="R53" i="15" s="1"/>
  <c r="N54" i="16"/>
  <c r="O53" i="16"/>
  <c r="Q53" i="16" s="1"/>
  <c r="R53" i="16" s="1"/>
  <c r="N54" i="22"/>
  <c r="O53" i="22"/>
  <c r="Q53" i="22" s="1"/>
  <c r="R53" i="22" s="1"/>
  <c r="N70" i="19"/>
  <c r="N62" i="19"/>
  <c r="O61" i="19"/>
  <c r="Q61" i="19" s="1"/>
  <c r="N38" i="19"/>
  <c r="O38" i="19" s="1"/>
  <c r="Q38" i="19" s="1"/>
  <c r="R38" i="19" s="1"/>
  <c r="O37" i="19"/>
  <c r="Q37" i="19" s="1"/>
  <c r="R37" i="19" s="1"/>
  <c r="J13" i="36"/>
  <c r="K13" i="36" s="1"/>
  <c r="L13" i="36" s="1"/>
  <c r="N62" i="16"/>
  <c r="O61" i="16"/>
  <c r="Q61" i="16" s="1"/>
  <c r="N62" i="22"/>
  <c r="N70" i="22"/>
  <c r="O61" i="22"/>
  <c r="Q61" i="22" s="1"/>
  <c r="N70" i="18"/>
  <c r="N62" i="18"/>
  <c r="O61" i="18"/>
  <c r="Q61" i="18" s="1"/>
  <c r="O53" i="19"/>
  <c r="Q53" i="19" s="1"/>
  <c r="R53" i="19" s="1"/>
  <c r="N54" i="19"/>
  <c r="O37" i="18"/>
  <c r="Q37" i="18" s="1"/>
  <c r="R37" i="18" s="1"/>
  <c r="N38" i="18"/>
  <c r="O38" i="18" s="1"/>
  <c r="Q38" i="18" s="1"/>
  <c r="R38" i="18" s="1"/>
  <c r="N70" i="24"/>
  <c r="N62" i="24"/>
  <c r="O61" i="24"/>
  <c r="Q61" i="24" s="1"/>
  <c r="N46" i="15"/>
  <c r="O45" i="15"/>
  <c r="Q45" i="15" s="1"/>
  <c r="R45" i="15" s="1"/>
  <c r="N46" i="20"/>
  <c r="O45" i="20"/>
  <c r="Q45" i="20" s="1"/>
  <c r="R45" i="20" s="1"/>
  <c r="O53" i="18"/>
  <c r="Q53" i="18" s="1"/>
  <c r="R53" i="18" s="1"/>
  <c r="N54" i="18"/>
  <c r="O45" i="18"/>
  <c r="Q45" i="18" s="1"/>
  <c r="N46" i="18"/>
  <c r="N70" i="21"/>
  <c r="N62" i="21"/>
  <c r="O61" i="21"/>
  <c r="Q61" i="21" s="1"/>
  <c r="O61" i="20"/>
  <c r="Q61" i="20" s="1"/>
  <c r="N70" i="20"/>
  <c r="N62" i="20"/>
  <c r="O71" i="23"/>
  <c r="Q71" i="23" s="1"/>
  <c r="R71" i="23" s="1"/>
  <c r="N72" i="23"/>
  <c r="O63" i="23"/>
  <c r="Q63" i="23" s="1"/>
  <c r="R63" i="23" s="1"/>
  <c r="N64" i="23"/>
  <c r="N38" i="24"/>
  <c r="O38" i="24" s="1"/>
  <c r="Q38" i="24" s="1"/>
  <c r="R38" i="24" s="1"/>
  <c r="O37" i="24"/>
  <c r="Q37" i="24" s="1"/>
  <c r="R37" i="24" s="1"/>
  <c r="O45" i="19"/>
  <c r="Q45" i="19" s="1"/>
  <c r="R45" i="19" s="1"/>
  <c r="N46" i="19"/>
  <c r="O53" i="21"/>
  <c r="Q53" i="21" s="1"/>
  <c r="R53" i="21" s="1"/>
  <c r="N54" i="21"/>
  <c r="N54" i="20"/>
  <c r="O53" i="20"/>
  <c r="Q53" i="20" s="1"/>
  <c r="R53" i="20" s="1"/>
  <c r="O79" i="23"/>
  <c r="Q79" i="23" s="1"/>
  <c r="N88" i="23"/>
  <c r="N80" i="23"/>
  <c r="O37" i="20"/>
  <c r="Q37" i="20" s="1"/>
  <c r="N38" i="20"/>
  <c r="O38" i="20" s="1"/>
  <c r="Q38" i="20" s="1"/>
  <c r="R38" i="20" s="1"/>
  <c r="N54" i="17"/>
  <c r="O53" i="17"/>
  <c r="Q53" i="17" s="1"/>
  <c r="R53" i="17" s="1"/>
  <c r="N46" i="24"/>
  <c r="O45" i="24"/>
  <c r="Q45" i="24" s="1"/>
  <c r="R45" i="24" s="1"/>
  <c r="N46" i="22"/>
  <c r="O45" i="22"/>
  <c r="Q45" i="22" s="1"/>
  <c r="R45" i="22" s="1"/>
  <c r="N70" i="17"/>
  <c r="N62" i="17"/>
  <c r="O61" i="17"/>
  <c r="Q61" i="17" s="1"/>
  <c r="N38" i="16"/>
  <c r="O38" i="16" s="1"/>
  <c r="Q38" i="16" s="1"/>
  <c r="R38" i="16" s="1"/>
  <c r="O37" i="16"/>
  <c r="Q37" i="16" s="1"/>
  <c r="R37" i="16" s="1"/>
  <c r="J63" i="36"/>
  <c r="K63" i="36" s="1"/>
  <c r="L63" i="36" s="1"/>
  <c r="N46" i="16"/>
  <c r="O45" i="16"/>
  <c r="Q45" i="16" s="1"/>
  <c r="R45" i="16" s="1"/>
  <c r="N46" i="21"/>
  <c r="O45" i="21"/>
  <c r="Q45" i="21" s="1"/>
  <c r="R45" i="21" s="1"/>
  <c r="N62" i="15"/>
  <c r="N70" i="15"/>
  <c r="O61" i="15"/>
  <c r="Q61" i="15" s="1"/>
  <c r="O55" i="23"/>
  <c r="Q55" i="23" s="1"/>
  <c r="R55" i="23" s="1"/>
  <c r="N56" i="23"/>
  <c r="O56" i="23" s="1"/>
  <c r="Q56" i="23" s="1"/>
  <c r="R56" i="23" s="1"/>
  <c r="R39" i="17" l="1"/>
  <c r="R39" i="22"/>
  <c r="R39" i="16"/>
  <c r="Q39" i="17"/>
  <c r="R30" i="21"/>
  <c r="J37" i="36" s="1"/>
  <c r="K37" i="36" s="1"/>
  <c r="L37" i="36" s="1"/>
  <c r="Q39" i="24"/>
  <c r="R39" i="18"/>
  <c r="J129" i="36" s="1"/>
  <c r="K129" i="36" s="1"/>
  <c r="L129" i="36" s="1"/>
  <c r="R39" i="19"/>
  <c r="J116" i="36" s="1"/>
  <c r="K116" i="36" s="1"/>
  <c r="L116" i="36" s="1"/>
  <c r="R39" i="24"/>
  <c r="Q39" i="15"/>
  <c r="Q39" i="18"/>
  <c r="R39" i="21"/>
  <c r="J38" i="36" s="1"/>
  <c r="K38" i="36" s="1"/>
  <c r="L38" i="36" s="1"/>
  <c r="Q39" i="21"/>
  <c r="R45" i="18"/>
  <c r="Q39" i="19"/>
  <c r="R39" i="15"/>
  <c r="J90" i="36" s="1"/>
  <c r="K90" i="36" s="1"/>
  <c r="L90" i="36" s="1"/>
  <c r="Q39" i="16"/>
  <c r="Q39" i="22"/>
  <c r="R61" i="22"/>
  <c r="Q57" i="23"/>
  <c r="R37" i="20"/>
  <c r="R39" i="20" s="1"/>
  <c r="J25" i="36" s="1"/>
  <c r="K25" i="36" s="1"/>
  <c r="L25" i="36" s="1"/>
  <c r="Q39" i="20"/>
  <c r="R57" i="23"/>
  <c r="J14" i="36" s="1"/>
  <c r="K14" i="36" s="1"/>
  <c r="L14" i="36" s="1"/>
  <c r="R61" i="18"/>
  <c r="R61" i="17"/>
  <c r="R61" i="19"/>
  <c r="R79" i="23"/>
  <c r="R61" i="21"/>
  <c r="R61" i="16"/>
  <c r="R61" i="15"/>
  <c r="R61" i="20"/>
  <c r="R61" i="24"/>
  <c r="J64" i="36"/>
  <c r="K64" i="36" s="1"/>
  <c r="L64" i="36" s="1"/>
  <c r="L36" i="36"/>
  <c r="J103" i="36"/>
  <c r="K103" i="36" s="1"/>
  <c r="L103" i="36" s="1"/>
  <c r="O88" i="23"/>
  <c r="Q88" i="23" s="1"/>
  <c r="N89" i="23"/>
  <c r="J51" i="36"/>
  <c r="K51" i="36" s="1"/>
  <c r="L51" i="36" s="1"/>
  <c r="N47" i="22"/>
  <c r="O47" i="22" s="1"/>
  <c r="Q47" i="22" s="1"/>
  <c r="R47" i="22" s="1"/>
  <c r="O46" i="22"/>
  <c r="Q46" i="22" s="1"/>
  <c r="R46" i="22" s="1"/>
  <c r="O46" i="19"/>
  <c r="Q46" i="19" s="1"/>
  <c r="N47" i="19"/>
  <c r="O47" i="19" s="1"/>
  <c r="Q47" i="19" s="1"/>
  <c r="R47" i="19" s="1"/>
  <c r="N63" i="20"/>
  <c r="O62" i="20"/>
  <c r="Q62" i="20" s="1"/>
  <c r="R62" i="20" s="1"/>
  <c r="N63" i="18"/>
  <c r="O62" i="18"/>
  <c r="Q62" i="18" s="1"/>
  <c r="R62" i="18" s="1"/>
  <c r="J77" i="36"/>
  <c r="K77" i="36" s="1"/>
  <c r="L77" i="36" s="1"/>
  <c r="N81" i="23"/>
  <c r="O80" i="23"/>
  <c r="Q80" i="23" s="1"/>
  <c r="R80" i="23" s="1"/>
  <c r="N71" i="20"/>
  <c r="O70" i="20"/>
  <c r="Q70" i="20" s="1"/>
  <c r="N79" i="20"/>
  <c r="N55" i="18"/>
  <c r="O54" i="18"/>
  <c r="Q54" i="18" s="1"/>
  <c r="R54" i="18" s="1"/>
  <c r="N63" i="24"/>
  <c r="O62" i="24"/>
  <c r="Q62" i="24" s="1"/>
  <c r="R62" i="24" s="1"/>
  <c r="N79" i="18"/>
  <c r="N71" i="18"/>
  <c r="O70" i="18"/>
  <c r="Q70" i="18" s="1"/>
  <c r="N55" i="16"/>
  <c r="O54" i="16"/>
  <c r="Q54" i="16" s="1"/>
  <c r="R54" i="16" s="1"/>
  <c r="N71" i="24"/>
  <c r="N79" i="24"/>
  <c r="O70" i="24"/>
  <c r="Q70" i="24" s="1"/>
  <c r="O62" i="15"/>
  <c r="Q62" i="15" s="1"/>
  <c r="R62" i="15" s="1"/>
  <c r="N63" i="15"/>
  <c r="N63" i="17"/>
  <c r="O62" i="17"/>
  <c r="Q62" i="17" s="1"/>
  <c r="R62" i="17" s="1"/>
  <c r="N47" i="21"/>
  <c r="O47" i="21" s="1"/>
  <c r="Q47" i="21" s="1"/>
  <c r="R47" i="21" s="1"/>
  <c r="O46" i="21"/>
  <c r="Q46" i="21" s="1"/>
  <c r="R46" i="21" s="1"/>
  <c r="N79" i="17"/>
  <c r="N71" i="17"/>
  <c r="O70" i="17"/>
  <c r="Q70" i="17" s="1"/>
  <c r="O54" i="20"/>
  <c r="Q54" i="20" s="1"/>
  <c r="R54" i="20" s="1"/>
  <c r="N55" i="20"/>
  <c r="N71" i="21"/>
  <c r="N79" i="21"/>
  <c r="O70" i="21"/>
  <c r="Q70" i="21" s="1"/>
  <c r="N47" i="20"/>
  <c r="O47" i="20" s="1"/>
  <c r="Q47" i="20" s="1"/>
  <c r="R47" i="20" s="1"/>
  <c r="O46" i="20"/>
  <c r="Q46" i="20" s="1"/>
  <c r="R46" i="20" s="1"/>
  <c r="N55" i="19"/>
  <c r="O54" i="19"/>
  <c r="Q54" i="19" s="1"/>
  <c r="R54" i="19" s="1"/>
  <c r="N71" i="19"/>
  <c r="N79" i="19"/>
  <c r="O70" i="19"/>
  <c r="Q70" i="19" s="1"/>
  <c r="N71" i="15"/>
  <c r="N79" i="15"/>
  <c r="O70" i="15"/>
  <c r="Q70" i="15" s="1"/>
  <c r="N71" i="22"/>
  <c r="N79" i="22"/>
  <c r="O70" i="22"/>
  <c r="Q70" i="22" s="1"/>
  <c r="N55" i="15"/>
  <c r="O54" i="15"/>
  <c r="Q54" i="15" s="1"/>
  <c r="R54" i="15" s="1"/>
  <c r="N65" i="23"/>
  <c r="O65" i="23" s="1"/>
  <c r="Q65" i="23" s="1"/>
  <c r="R65" i="23" s="1"/>
  <c r="O64" i="23"/>
  <c r="Q64" i="23" s="1"/>
  <c r="N63" i="21"/>
  <c r="O62" i="21"/>
  <c r="Q62" i="21" s="1"/>
  <c r="R62" i="21" s="1"/>
  <c r="O62" i="19"/>
  <c r="Q62" i="19" s="1"/>
  <c r="R62" i="19" s="1"/>
  <c r="N63" i="19"/>
  <c r="N55" i="17"/>
  <c r="O54" i="17"/>
  <c r="Q54" i="17" s="1"/>
  <c r="R54" i="17" s="1"/>
  <c r="N55" i="21"/>
  <c r="O54" i="21"/>
  <c r="Q54" i="21" s="1"/>
  <c r="R54" i="21" s="1"/>
  <c r="N73" i="23"/>
  <c r="O72" i="23"/>
  <c r="Q72" i="23" s="1"/>
  <c r="R72" i="23" s="1"/>
  <c r="N47" i="18"/>
  <c r="O47" i="18" s="1"/>
  <c r="Q47" i="18" s="1"/>
  <c r="R47" i="18" s="1"/>
  <c r="O46" i="18"/>
  <c r="Q46" i="18" s="1"/>
  <c r="R46" i="18" s="1"/>
  <c r="N70" i="16"/>
  <c r="O62" i="16"/>
  <c r="Q62" i="16" s="1"/>
  <c r="R62" i="16" s="1"/>
  <c r="N63" i="16"/>
  <c r="O54" i="24"/>
  <c r="Q54" i="24" s="1"/>
  <c r="R54" i="24" s="1"/>
  <c r="N55" i="24"/>
  <c r="N47" i="24"/>
  <c r="O47" i="24" s="1"/>
  <c r="Q47" i="24" s="1"/>
  <c r="R47" i="24" s="1"/>
  <c r="O46" i="24"/>
  <c r="Q46" i="24" s="1"/>
  <c r="R46" i="24" s="1"/>
  <c r="O62" i="22"/>
  <c r="Q62" i="22" s="1"/>
  <c r="R62" i="22" s="1"/>
  <c r="N63" i="22"/>
  <c r="N47" i="17"/>
  <c r="O47" i="17" s="1"/>
  <c r="Q47" i="17" s="1"/>
  <c r="R47" i="17" s="1"/>
  <c r="O46" i="17"/>
  <c r="Q46" i="17" s="1"/>
  <c r="R46" i="17" s="1"/>
  <c r="O46" i="16"/>
  <c r="Q46" i="16" s="1"/>
  <c r="R46" i="16" s="1"/>
  <c r="N47" i="16"/>
  <c r="O47" i="16" s="1"/>
  <c r="Q47" i="16" s="1"/>
  <c r="R47" i="16" s="1"/>
  <c r="N47" i="15"/>
  <c r="O47" i="15" s="1"/>
  <c r="Q47" i="15" s="1"/>
  <c r="R47" i="15" s="1"/>
  <c r="O46" i="15"/>
  <c r="Q46" i="15" s="1"/>
  <c r="R46" i="15" s="1"/>
  <c r="N55" i="22"/>
  <c r="O54" i="22"/>
  <c r="Q54" i="22" s="1"/>
  <c r="R54" i="22" s="1"/>
  <c r="R48" i="16" l="1"/>
  <c r="R48" i="15"/>
  <c r="R48" i="17"/>
  <c r="R48" i="24"/>
  <c r="J52" i="36" s="1"/>
  <c r="K52" i="36" s="1"/>
  <c r="L52" i="36" s="1"/>
  <c r="R48" i="21"/>
  <c r="J39" i="36" s="1"/>
  <c r="K39" i="36" s="1"/>
  <c r="L39" i="36" s="1"/>
  <c r="Q48" i="17"/>
  <c r="Q48" i="21"/>
  <c r="R48" i="22"/>
  <c r="J65" i="36" s="1"/>
  <c r="K65" i="36" s="1"/>
  <c r="L65" i="36" s="1"/>
  <c r="Q48" i="24"/>
  <c r="Q48" i="18"/>
  <c r="R48" i="18"/>
  <c r="R46" i="19"/>
  <c r="R48" i="19" s="1"/>
  <c r="J117" i="36" s="1"/>
  <c r="K117" i="36" s="1"/>
  <c r="L117" i="36" s="1"/>
  <c r="Q48" i="19"/>
  <c r="Q48" i="15"/>
  <c r="Q48" i="16"/>
  <c r="Q48" i="22"/>
  <c r="R70" i="22"/>
  <c r="R48" i="20"/>
  <c r="J26" i="36" s="1"/>
  <c r="K26" i="36" s="1"/>
  <c r="L26" i="36" s="1"/>
  <c r="Q48" i="20"/>
  <c r="R64" i="23"/>
  <c r="R66" i="23" s="1"/>
  <c r="J15" i="36" s="1"/>
  <c r="K15" i="36" s="1"/>
  <c r="L15" i="36" s="1"/>
  <c r="Q66" i="23"/>
  <c r="R70" i="19"/>
  <c r="R70" i="17"/>
  <c r="R70" i="18"/>
  <c r="R70" i="15"/>
  <c r="R70" i="21"/>
  <c r="R70" i="20"/>
  <c r="R70" i="24"/>
  <c r="R88" i="23"/>
  <c r="J104" i="36"/>
  <c r="K104" i="36" s="1"/>
  <c r="L104" i="36" s="1"/>
  <c r="J91" i="36"/>
  <c r="K91" i="36" s="1"/>
  <c r="L91" i="36" s="1"/>
  <c r="J78" i="36"/>
  <c r="K78" i="36" s="1"/>
  <c r="L78" i="36" s="1"/>
  <c r="N88" i="22"/>
  <c r="N80" i="22"/>
  <c r="O79" i="22"/>
  <c r="Q79" i="22" s="1"/>
  <c r="N71" i="16"/>
  <c r="O70" i="16"/>
  <c r="Q70" i="16" s="1"/>
  <c r="N56" i="17"/>
  <c r="O56" i="17" s="1"/>
  <c r="Q56" i="17" s="1"/>
  <c r="R56" i="17" s="1"/>
  <c r="O55" i="17"/>
  <c r="Q55" i="17" s="1"/>
  <c r="R55" i="17" s="1"/>
  <c r="O55" i="15"/>
  <c r="Q55" i="15" s="1"/>
  <c r="R55" i="15" s="1"/>
  <c r="N56" i="15"/>
  <c r="O56" i="15" s="1"/>
  <c r="Q56" i="15" s="1"/>
  <c r="R56" i="15" s="1"/>
  <c r="N88" i="17"/>
  <c r="N80" i="17"/>
  <c r="O79" i="17"/>
  <c r="Q79" i="17" s="1"/>
  <c r="N72" i="18"/>
  <c r="O71" i="18"/>
  <c r="Q71" i="18" s="1"/>
  <c r="R71" i="18" s="1"/>
  <c r="N72" i="20"/>
  <c r="O71" i="20"/>
  <c r="Q71" i="20" s="1"/>
  <c r="R71" i="20" s="1"/>
  <c r="O89" i="23"/>
  <c r="Q89" i="23" s="1"/>
  <c r="R89" i="23" s="1"/>
  <c r="N90" i="23"/>
  <c r="J130" i="36"/>
  <c r="K130" i="36" s="1"/>
  <c r="L130" i="36" s="1"/>
  <c r="O63" i="19"/>
  <c r="Q63" i="19" s="1"/>
  <c r="N64" i="19"/>
  <c r="N80" i="21"/>
  <c r="N88" i="21"/>
  <c r="O79" i="21"/>
  <c r="Q79" i="21" s="1"/>
  <c r="N88" i="18"/>
  <c r="N80" i="18"/>
  <c r="O79" i="18"/>
  <c r="Q79" i="18" s="1"/>
  <c r="O63" i="20"/>
  <c r="Q63" i="20" s="1"/>
  <c r="R63" i="20" s="1"/>
  <c r="N64" i="20"/>
  <c r="N88" i="19"/>
  <c r="N80" i="19"/>
  <c r="O79" i="19"/>
  <c r="Q79" i="19" s="1"/>
  <c r="O71" i="22"/>
  <c r="Q71" i="22" s="1"/>
  <c r="R71" i="22" s="1"/>
  <c r="N72" i="22"/>
  <c r="O71" i="19"/>
  <c r="Q71" i="19" s="1"/>
  <c r="R71" i="19" s="1"/>
  <c r="N72" i="19"/>
  <c r="N74" i="23"/>
  <c r="O74" i="23" s="1"/>
  <c r="O73" i="23"/>
  <c r="Q73" i="23" s="1"/>
  <c r="O55" i="19"/>
  <c r="Q55" i="19" s="1"/>
  <c r="R55" i="19" s="1"/>
  <c r="N56" i="19"/>
  <c r="O56" i="19" s="1"/>
  <c r="Q56" i="19" s="1"/>
  <c r="R56" i="19" s="1"/>
  <c r="N64" i="17"/>
  <c r="O63" i="17"/>
  <c r="Q63" i="17" s="1"/>
  <c r="R63" i="17" s="1"/>
  <c r="N56" i="18"/>
  <c r="O56" i="18" s="1"/>
  <c r="Q56" i="18" s="1"/>
  <c r="R56" i="18" s="1"/>
  <c r="O55" i="18"/>
  <c r="Q55" i="18" s="1"/>
  <c r="R55" i="18" s="1"/>
  <c r="N80" i="24"/>
  <c r="N88" i="24"/>
  <c r="O79" i="24"/>
  <c r="Q79" i="24" s="1"/>
  <c r="N82" i="23"/>
  <c r="O81" i="23"/>
  <c r="Q81" i="23" s="1"/>
  <c r="R81" i="23" s="1"/>
  <c r="N72" i="24"/>
  <c r="O71" i="24"/>
  <c r="Q71" i="24" s="1"/>
  <c r="R71" i="24" s="1"/>
  <c r="O63" i="24"/>
  <c r="Q63" i="24" s="1"/>
  <c r="R63" i="24" s="1"/>
  <c r="N64" i="24"/>
  <c r="N56" i="20"/>
  <c r="O56" i="20" s="1"/>
  <c r="Q56" i="20" s="1"/>
  <c r="R56" i="20" s="1"/>
  <c r="O55" i="20"/>
  <c r="Q55" i="20" s="1"/>
  <c r="R55" i="20" s="1"/>
  <c r="O63" i="16"/>
  <c r="Q63" i="16" s="1"/>
  <c r="R63" i="16" s="1"/>
  <c r="N64" i="16"/>
  <c r="N56" i="21"/>
  <c r="O56" i="21" s="1"/>
  <c r="Q56" i="21" s="1"/>
  <c r="R56" i="21" s="1"/>
  <c r="O55" i="21"/>
  <c r="Q55" i="21" s="1"/>
  <c r="R55" i="21" s="1"/>
  <c r="R57" i="21" s="1"/>
  <c r="N88" i="15"/>
  <c r="O79" i="15"/>
  <c r="Q79" i="15" s="1"/>
  <c r="N80" i="15"/>
  <c r="N56" i="16"/>
  <c r="O56" i="16" s="1"/>
  <c r="Q56" i="16" s="1"/>
  <c r="R56" i="16" s="1"/>
  <c r="O55" i="16"/>
  <c r="Q55" i="16" s="1"/>
  <c r="R55" i="16" s="1"/>
  <c r="O79" i="20"/>
  <c r="Q79" i="20" s="1"/>
  <c r="N80" i="20"/>
  <c r="N64" i="18"/>
  <c r="O63" i="18"/>
  <c r="Q63" i="18" s="1"/>
  <c r="R63" i="18" s="1"/>
  <c r="N72" i="21"/>
  <c r="O71" i="21"/>
  <c r="Q71" i="21" s="1"/>
  <c r="R71" i="21" s="1"/>
  <c r="N56" i="24"/>
  <c r="O56" i="24" s="1"/>
  <c r="Q56" i="24" s="1"/>
  <c r="R56" i="24" s="1"/>
  <c r="O55" i="24"/>
  <c r="Q55" i="24" s="1"/>
  <c r="R55" i="24" s="1"/>
  <c r="N64" i="21"/>
  <c r="O63" i="21"/>
  <c r="Q63" i="21" s="1"/>
  <c r="R63" i="21" s="1"/>
  <c r="O55" i="22"/>
  <c r="Q55" i="22" s="1"/>
  <c r="R55" i="22" s="1"/>
  <c r="N56" i="22"/>
  <c r="O56" i="22" s="1"/>
  <c r="Q56" i="22" s="1"/>
  <c r="R56" i="22" s="1"/>
  <c r="N64" i="22"/>
  <c r="O63" i="22"/>
  <c r="Q63" i="22" s="1"/>
  <c r="R63" i="22" s="1"/>
  <c r="N72" i="15"/>
  <c r="O71" i="15"/>
  <c r="Q71" i="15" s="1"/>
  <c r="R71" i="15" s="1"/>
  <c r="O71" i="17"/>
  <c r="Q71" i="17" s="1"/>
  <c r="R71" i="17" s="1"/>
  <c r="N72" i="17"/>
  <c r="N64" i="15"/>
  <c r="O63" i="15"/>
  <c r="Q63" i="15" s="1"/>
  <c r="R63" i="15" s="1"/>
  <c r="R57" i="24" l="1"/>
  <c r="R57" i="17"/>
  <c r="R57" i="19"/>
  <c r="R57" i="22"/>
  <c r="R57" i="16"/>
  <c r="R57" i="18"/>
  <c r="J131" i="36" s="1"/>
  <c r="K131" i="36" s="1"/>
  <c r="L131" i="36" s="1"/>
  <c r="Q57" i="24"/>
  <c r="Q57" i="21"/>
  <c r="Q57" i="17"/>
  <c r="Q57" i="18"/>
  <c r="R63" i="19"/>
  <c r="Q57" i="19"/>
  <c r="R57" i="15"/>
  <c r="Q57" i="15"/>
  <c r="Q57" i="16"/>
  <c r="Q57" i="22"/>
  <c r="R79" i="22"/>
  <c r="R57" i="20"/>
  <c r="J27" i="36" s="1"/>
  <c r="K27" i="36" s="1"/>
  <c r="L27" i="36" s="1"/>
  <c r="R73" i="23"/>
  <c r="Q57" i="20"/>
  <c r="R79" i="19"/>
  <c r="R79" i="17"/>
  <c r="R79" i="18"/>
  <c r="R79" i="20"/>
  <c r="R79" i="15"/>
  <c r="R79" i="24"/>
  <c r="R79" i="21"/>
  <c r="R70" i="16"/>
  <c r="J105" i="36"/>
  <c r="K105" i="36" s="1"/>
  <c r="L105" i="36" s="1"/>
  <c r="J40" i="36"/>
  <c r="K40" i="36" s="1"/>
  <c r="L40" i="36" s="1"/>
  <c r="J118" i="36"/>
  <c r="K118" i="36" s="1"/>
  <c r="L118" i="36" s="1"/>
  <c r="J66" i="36"/>
  <c r="K66" i="36" s="1"/>
  <c r="L66" i="36" s="1"/>
  <c r="J92" i="36"/>
  <c r="K92" i="36" s="1"/>
  <c r="L92" i="36" s="1"/>
  <c r="J53" i="36"/>
  <c r="K53" i="36" s="1"/>
  <c r="L53" i="36" s="1"/>
  <c r="N73" i="22"/>
  <c r="O72" i="22"/>
  <c r="Q72" i="22" s="1"/>
  <c r="R72" i="22" s="1"/>
  <c r="N65" i="19"/>
  <c r="O65" i="19" s="1"/>
  <c r="Q65" i="19" s="1"/>
  <c r="R65" i="19" s="1"/>
  <c r="O64" i="19"/>
  <c r="Q64" i="19" s="1"/>
  <c r="R64" i="19" s="1"/>
  <c r="J79" i="36"/>
  <c r="K79" i="36" s="1"/>
  <c r="L79" i="36" s="1"/>
  <c r="N65" i="17"/>
  <c r="O65" i="17" s="1"/>
  <c r="Q65" i="17" s="1"/>
  <c r="R65" i="17" s="1"/>
  <c r="O64" i="17"/>
  <c r="Q64" i="17" s="1"/>
  <c r="R64" i="17" s="1"/>
  <c r="N73" i="19"/>
  <c r="O72" i="19"/>
  <c r="Q72" i="19" s="1"/>
  <c r="R72" i="19" s="1"/>
  <c r="N65" i="20"/>
  <c r="O65" i="20" s="1"/>
  <c r="Q65" i="20" s="1"/>
  <c r="R65" i="20" s="1"/>
  <c r="O64" i="20"/>
  <c r="Q64" i="20" s="1"/>
  <c r="R64" i="20" s="1"/>
  <c r="N81" i="21"/>
  <c r="O80" i="21"/>
  <c r="Q80" i="21" s="1"/>
  <c r="R80" i="21" s="1"/>
  <c r="N89" i="22"/>
  <c r="O88" i="22"/>
  <c r="Q88" i="22" s="1"/>
  <c r="N73" i="15"/>
  <c r="O72" i="15"/>
  <c r="Q72" i="15" s="1"/>
  <c r="R72" i="15" s="1"/>
  <c r="N73" i="20"/>
  <c r="O72" i="20"/>
  <c r="Q72" i="20" s="1"/>
  <c r="R72" i="20" s="1"/>
  <c r="N81" i="15"/>
  <c r="O80" i="15"/>
  <c r="Q80" i="15" s="1"/>
  <c r="R80" i="15" s="1"/>
  <c r="O64" i="22"/>
  <c r="Q64" i="22" s="1"/>
  <c r="R64" i="22" s="1"/>
  <c r="N65" i="22"/>
  <c r="O65" i="22" s="1"/>
  <c r="Q65" i="22" s="1"/>
  <c r="R65" i="22" s="1"/>
  <c r="N73" i="21"/>
  <c r="O72" i="21"/>
  <c r="Q72" i="21" s="1"/>
  <c r="R72" i="21" s="1"/>
  <c r="N89" i="15"/>
  <c r="O88" i="15"/>
  <c r="Q88" i="15" s="1"/>
  <c r="N81" i="24"/>
  <c r="O80" i="24"/>
  <c r="Q80" i="24" s="1"/>
  <c r="R80" i="24" s="1"/>
  <c r="N89" i="18"/>
  <c r="O88" i="18"/>
  <c r="Q88" i="18" s="1"/>
  <c r="N65" i="18"/>
  <c r="O65" i="18" s="1"/>
  <c r="Q65" i="18" s="1"/>
  <c r="R65" i="18" s="1"/>
  <c r="O64" i="18"/>
  <c r="Q64" i="18" s="1"/>
  <c r="R64" i="18" s="1"/>
  <c r="O80" i="19"/>
  <c r="Q80" i="19" s="1"/>
  <c r="R80" i="19" s="1"/>
  <c r="N81" i="19"/>
  <c r="N81" i="17"/>
  <c r="O80" i="17"/>
  <c r="Q80" i="17" s="1"/>
  <c r="R80" i="17" s="1"/>
  <c r="N79" i="16"/>
  <c r="N72" i="16"/>
  <c r="O71" i="16"/>
  <c r="Q71" i="16" s="1"/>
  <c r="R71" i="16" s="1"/>
  <c r="O82" i="23"/>
  <c r="Q82" i="23" s="1"/>
  <c r="R82" i="23" s="1"/>
  <c r="N83" i="23"/>
  <c r="O83" i="23" s="1"/>
  <c r="Q83" i="23" s="1"/>
  <c r="R83" i="23" s="1"/>
  <c r="N89" i="24"/>
  <c r="O88" i="24"/>
  <c r="Q88" i="24" s="1"/>
  <c r="N81" i="18"/>
  <c r="O80" i="18"/>
  <c r="Q80" i="18" s="1"/>
  <c r="R80" i="18" s="1"/>
  <c r="O72" i="18"/>
  <c r="Q72" i="18" s="1"/>
  <c r="R72" i="18" s="1"/>
  <c r="N73" i="18"/>
  <c r="Q74" i="23"/>
  <c r="R74" i="23" s="1"/>
  <c r="N89" i="19"/>
  <c r="O88" i="19"/>
  <c r="Q88" i="19" s="1"/>
  <c r="O90" i="23"/>
  <c r="Q90" i="23" s="1"/>
  <c r="R90" i="23" s="1"/>
  <c r="N91" i="23"/>
  <c r="N89" i="17"/>
  <c r="O88" i="17"/>
  <c r="Q88" i="17" s="1"/>
  <c r="N65" i="24"/>
  <c r="O65" i="24" s="1"/>
  <c r="Q65" i="24" s="1"/>
  <c r="R65" i="24" s="1"/>
  <c r="O64" i="24"/>
  <c r="Q64" i="24" s="1"/>
  <c r="R64" i="24" s="1"/>
  <c r="N65" i="15"/>
  <c r="O65" i="15" s="1"/>
  <c r="Q65" i="15" s="1"/>
  <c r="R65" i="15" s="1"/>
  <c r="O64" i="15"/>
  <c r="Q64" i="15" s="1"/>
  <c r="R64" i="15" s="1"/>
  <c r="N73" i="17"/>
  <c r="O72" i="17"/>
  <c r="Q72" i="17" s="1"/>
  <c r="R72" i="17" s="1"/>
  <c r="N88" i="20"/>
  <c r="O80" i="20"/>
  <c r="Q80" i="20" s="1"/>
  <c r="R80" i="20" s="1"/>
  <c r="N81" i="20"/>
  <c r="N65" i="21"/>
  <c r="O65" i="21" s="1"/>
  <c r="Q65" i="21" s="1"/>
  <c r="R65" i="21" s="1"/>
  <c r="O64" i="21"/>
  <c r="Q64" i="21" s="1"/>
  <c r="R64" i="21" s="1"/>
  <c r="O64" i="16"/>
  <c r="Q64" i="16" s="1"/>
  <c r="R64" i="16" s="1"/>
  <c r="N65" i="16"/>
  <c r="O65" i="16" s="1"/>
  <c r="Q65" i="16" s="1"/>
  <c r="R65" i="16" s="1"/>
  <c r="N73" i="24"/>
  <c r="O72" i="24"/>
  <c r="Q72" i="24" s="1"/>
  <c r="R72" i="24" s="1"/>
  <c r="N89" i="21"/>
  <c r="O88" i="21"/>
  <c r="Q88" i="21" s="1"/>
  <c r="N81" i="22"/>
  <c r="O80" i="22"/>
  <c r="Q80" i="22" s="1"/>
  <c r="R80" i="22" s="1"/>
  <c r="Q5" i="23"/>
  <c r="R66" i="17" l="1"/>
  <c r="R66" i="24"/>
  <c r="R66" i="16"/>
  <c r="J80" i="36" s="1"/>
  <c r="K80" i="36" s="1"/>
  <c r="L80" i="36" s="1"/>
  <c r="Q84" i="23"/>
  <c r="Q66" i="24"/>
  <c r="Q66" i="19"/>
  <c r="Q66" i="17"/>
  <c r="R66" i="22"/>
  <c r="Q66" i="18"/>
  <c r="R66" i="18"/>
  <c r="J132" i="36" s="1"/>
  <c r="K132" i="36" s="1"/>
  <c r="L132" i="36" s="1"/>
  <c r="R66" i="19"/>
  <c r="J119" i="36" s="1"/>
  <c r="K119" i="36" s="1"/>
  <c r="L119" i="36" s="1"/>
  <c r="R66" i="15"/>
  <c r="J93" i="36" s="1"/>
  <c r="K93" i="36" s="1"/>
  <c r="L93" i="36" s="1"/>
  <c r="Q66" i="15"/>
  <c r="Q66" i="16"/>
  <c r="R88" i="22"/>
  <c r="Q66" i="22"/>
  <c r="R66" i="21"/>
  <c r="Q66" i="21"/>
  <c r="R84" i="23"/>
  <c r="R66" i="20"/>
  <c r="J28" i="36" s="1"/>
  <c r="K28" i="36" s="1"/>
  <c r="L28" i="36" s="1"/>
  <c r="Q66" i="20"/>
  <c r="R75" i="23"/>
  <c r="J16" i="36" s="1"/>
  <c r="K16" i="36" s="1"/>
  <c r="L16" i="36" s="1"/>
  <c r="Q75" i="23"/>
  <c r="R88" i="17"/>
  <c r="R88" i="19"/>
  <c r="R88" i="18"/>
  <c r="R5" i="23"/>
  <c r="R88" i="21"/>
  <c r="R88" i="24"/>
  <c r="R88" i="15"/>
  <c r="J17" i="36"/>
  <c r="K17" i="36" s="1"/>
  <c r="L17" i="36" s="1"/>
  <c r="J67" i="36"/>
  <c r="K67" i="36" s="1"/>
  <c r="L67" i="36" s="1"/>
  <c r="J54" i="36"/>
  <c r="K54" i="36" s="1"/>
  <c r="L54" i="36" s="1"/>
  <c r="J41" i="36"/>
  <c r="K41" i="36" s="1"/>
  <c r="L41" i="36" s="1"/>
  <c r="N90" i="21"/>
  <c r="O89" i="21"/>
  <c r="Q89" i="21" s="1"/>
  <c r="R89" i="21" s="1"/>
  <c r="N82" i="24"/>
  <c r="O81" i="24"/>
  <c r="Q81" i="24" s="1"/>
  <c r="R81" i="24" s="1"/>
  <c r="O88" i="20"/>
  <c r="Q88" i="20" s="1"/>
  <c r="N89" i="20"/>
  <c r="N74" i="18"/>
  <c r="O74" i="18" s="1"/>
  <c r="Q74" i="18" s="1"/>
  <c r="R74" i="18" s="1"/>
  <c r="O73" i="18"/>
  <c r="Q73" i="18" s="1"/>
  <c r="R73" i="18" s="1"/>
  <c r="N90" i="19"/>
  <c r="O89" i="19"/>
  <c r="Q89" i="19" s="1"/>
  <c r="R89" i="19" s="1"/>
  <c r="O89" i="24"/>
  <c r="Q89" i="24" s="1"/>
  <c r="R89" i="24" s="1"/>
  <c r="N90" i="24"/>
  <c r="N82" i="17"/>
  <c r="O81" i="17"/>
  <c r="Q81" i="17" s="1"/>
  <c r="R81" i="17" s="1"/>
  <c r="O89" i="18"/>
  <c r="Q89" i="18" s="1"/>
  <c r="R89" i="18" s="1"/>
  <c r="N90" i="18"/>
  <c r="J106" i="36"/>
  <c r="K106" i="36" s="1"/>
  <c r="L106" i="36" s="1"/>
  <c r="N74" i="22"/>
  <c r="O74" i="22" s="1"/>
  <c r="Q74" i="22" s="1"/>
  <c r="R74" i="22" s="1"/>
  <c r="O73" i="22"/>
  <c r="Q73" i="22" s="1"/>
  <c r="R73" i="22" s="1"/>
  <c r="N82" i="19"/>
  <c r="O81" i="19"/>
  <c r="Q81" i="19" s="1"/>
  <c r="R81" i="19" s="1"/>
  <c r="N90" i="22"/>
  <c r="O89" i="22"/>
  <c r="Q89" i="22" s="1"/>
  <c r="R89" i="22" s="1"/>
  <c r="N90" i="15"/>
  <c r="O89" i="15"/>
  <c r="Q89" i="15" s="1"/>
  <c r="R89" i="15" s="1"/>
  <c r="N74" i="17"/>
  <c r="O74" i="17" s="1"/>
  <c r="Q74" i="17" s="1"/>
  <c r="R74" i="17" s="1"/>
  <c r="O73" i="17"/>
  <c r="Q73" i="17" s="1"/>
  <c r="R73" i="17" s="1"/>
  <c r="N92" i="23"/>
  <c r="O92" i="23" s="1"/>
  <c r="Q92" i="23" s="1"/>
  <c r="R92" i="23" s="1"/>
  <c r="O91" i="23"/>
  <c r="Q91" i="23" s="1"/>
  <c r="R91" i="23" s="1"/>
  <c r="N73" i="16"/>
  <c r="O72" i="16"/>
  <c r="Q72" i="16" s="1"/>
  <c r="R72" i="16" s="1"/>
  <c r="N74" i="20"/>
  <c r="O74" i="20" s="1"/>
  <c r="Q74" i="20" s="1"/>
  <c r="R74" i="20" s="1"/>
  <c r="O73" i="20"/>
  <c r="Q73" i="20" s="1"/>
  <c r="N74" i="24"/>
  <c r="O74" i="24" s="1"/>
  <c r="Q74" i="24" s="1"/>
  <c r="R74" i="24" s="1"/>
  <c r="O73" i="24"/>
  <c r="Q73" i="24" s="1"/>
  <c r="R73" i="24" s="1"/>
  <c r="O81" i="21"/>
  <c r="Q81" i="21" s="1"/>
  <c r="R81" i="21" s="1"/>
  <c r="N82" i="21"/>
  <c r="N90" i="17"/>
  <c r="O89" i="17"/>
  <c r="Q89" i="17" s="1"/>
  <c r="R89" i="17" s="1"/>
  <c r="O81" i="18"/>
  <c r="Q81" i="18" s="1"/>
  <c r="R81" i="18" s="1"/>
  <c r="N82" i="18"/>
  <c r="N80" i="16"/>
  <c r="N88" i="16"/>
  <c r="O79" i="16"/>
  <c r="Q79" i="16" s="1"/>
  <c r="O73" i="21"/>
  <c r="Q73" i="21" s="1"/>
  <c r="R73" i="21" s="1"/>
  <c r="N74" i="21"/>
  <c r="O74" i="21" s="1"/>
  <c r="Q74" i="21" s="1"/>
  <c r="R74" i="21" s="1"/>
  <c r="O81" i="20"/>
  <c r="Q81" i="20" s="1"/>
  <c r="R81" i="20" s="1"/>
  <c r="N82" i="20"/>
  <c r="O81" i="15"/>
  <c r="Q81" i="15" s="1"/>
  <c r="R81" i="15" s="1"/>
  <c r="N82" i="15"/>
  <c r="N82" i="22"/>
  <c r="O81" i="22"/>
  <c r="Q81" i="22" s="1"/>
  <c r="R81" i="22" s="1"/>
  <c r="O73" i="15"/>
  <c r="Q73" i="15" s="1"/>
  <c r="R73" i="15" s="1"/>
  <c r="N74" i="15"/>
  <c r="O74" i="15" s="1"/>
  <c r="Q74" i="15" s="1"/>
  <c r="R74" i="15" s="1"/>
  <c r="N74" i="19"/>
  <c r="O74" i="19" s="1"/>
  <c r="Q74" i="19" s="1"/>
  <c r="R74" i="19" s="1"/>
  <c r="O73" i="19"/>
  <c r="Q73" i="19" s="1"/>
  <c r="R73" i="19" s="1"/>
  <c r="R75" i="24" l="1"/>
  <c r="R75" i="18"/>
  <c r="R75" i="15"/>
  <c r="R75" i="17"/>
  <c r="J107" i="36" s="1"/>
  <c r="K107" i="36" s="1"/>
  <c r="R75" i="19"/>
  <c r="Q75" i="17"/>
  <c r="R75" i="22"/>
  <c r="J68" i="36" s="1"/>
  <c r="K68" i="36" s="1"/>
  <c r="Q75" i="24"/>
  <c r="Q75" i="18"/>
  <c r="Q75" i="19"/>
  <c r="Q75" i="15"/>
  <c r="Q75" i="22"/>
  <c r="R75" i="21"/>
  <c r="Q75" i="21"/>
  <c r="R93" i="23"/>
  <c r="J18" i="36" s="1"/>
  <c r="K18" i="36" s="1"/>
  <c r="L18" i="36" s="1"/>
  <c r="R73" i="20"/>
  <c r="R75" i="20" s="1"/>
  <c r="J29" i="36" s="1"/>
  <c r="K29" i="36" s="1"/>
  <c r="Q75" i="20"/>
  <c r="Q93" i="23"/>
  <c r="R79" i="16"/>
  <c r="R88" i="20"/>
  <c r="J120" i="36"/>
  <c r="K120" i="36" s="1"/>
  <c r="J133" i="36"/>
  <c r="K133" i="36" s="1"/>
  <c r="J55" i="36"/>
  <c r="K55" i="36" s="1"/>
  <c r="N91" i="18"/>
  <c r="O90" i="18"/>
  <c r="Q90" i="18" s="1"/>
  <c r="R90" i="18" s="1"/>
  <c r="N91" i="21"/>
  <c r="O90" i="21"/>
  <c r="Q90" i="21" s="1"/>
  <c r="R90" i="21" s="1"/>
  <c r="N83" i="15"/>
  <c r="O83" i="15" s="1"/>
  <c r="Q83" i="15" s="1"/>
  <c r="R83" i="15" s="1"/>
  <c r="O82" i="15"/>
  <c r="Q82" i="15" s="1"/>
  <c r="R82" i="15" s="1"/>
  <c r="N89" i="16"/>
  <c r="O88" i="16"/>
  <c r="Q88" i="16" s="1"/>
  <c r="N83" i="24"/>
  <c r="O83" i="24" s="1"/>
  <c r="Q83" i="24" s="1"/>
  <c r="R83" i="24" s="1"/>
  <c r="O82" i="24"/>
  <c r="Q82" i="24" s="1"/>
  <c r="R82" i="24" s="1"/>
  <c r="N91" i="17"/>
  <c r="O90" i="17"/>
  <c r="Q90" i="17" s="1"/>
  <c r="R90" i="17" s="1"/>
  <c r="O82" i="22"/>
  <c r="Q82" i="22" s="1"/>
  <c r="R82" i="22" s="1"/>
  <c r="N83" i="22"/>
  <c r="O83" i="22" s="1"/>
  <c r="Q83" i="22" s="1"/>
  <c r="R83" i="22" s="1"/>
  <c r="O90" i="22"/>
  <c r="Q90" i="22" s="1"/>
  <c r="R90" i="22" s="1"/>
  <c r="N91" i="22"/>
  <c r="N81" i="16"/>
  <c r="O80" i="16"/>
  <c r="Q80" i="16" s="1"/>
  <c r="R80" i="16" s="1"/>
  <c r="J42" i="36"/>
  <c r="K42" i="36" s="1"/>
  <c r="N91" i="19"/>
  <c r="O90" i="19"/>
  <c r="Q90" i="19" s="1"/>
  <c r="R90" i="19" s="1"/>
  <c r="N83" i="21"/>
  <c r="O83" i="21" s="1"/>
  <c r="Q83" i="21" s="1"/>
  <c r="R83" i="21" s="1"/>
  <c r="O82" i="21"/>
  <c r="Q82" i="21" s="1"/>
  <c r="R82" i="21" s="1"/>
  <c r="O82" i="18"/>
  <c r="Q82" i="18" s="1"/>
  <c r="R82" i="18" s="1"/>
  <c r="N83" i="18"/>
  <c r="O83" i="18" s="1"/>
  <c r="Q83" i="18" s="1"/>
  <c r="R83" i="18" s="1"/>
  <c r="N83" i="19"/>
  <c r="O83" i="19" s="1"/>
  <c r="Q83" i="19" s="1"/>
  <c r="R83" i="19" s="1"/>
  <c r="O82" i="19"/>
  <c r="Q82" i="19" s="1"/>
  <c r="R82" i="19" s="1"/>
  <c r="O82" i="17"/>
  <c r="Q82" i="17" s="1"/>
  <c r="R82" i="17" s="1"/>
  <c r="N83" i="17"/>
  <c r="O83" i="17" s="1"/>
  <c r="Q83" i="17" s="1"/>
  <c r="R83" i="17" s="1"/>
  <c r="O89" i="20"/>
  <c r="Q89" i="20" s="1"/>
  <c r="R89" i="20" s="1"/>
  <c r="N90" i="20"/>
  <c r="N91" i="15"/>
  <c r="O90" i="15"/>
  <c r="Q90" i="15" s="1"/>
  <c r="R90" i="15" s="1"/>
  <c r="O73" i="16"/>
  <c r="Q73" i="16" s="1"/>
  <c r="R73" i="16" s="1"/>
  <c r="N74" i="16"/>
  <c r="O74" i="16" s="1"/>
  <c r="Q74" i="16" s="1"/>
  <c r="R74" i="16" s="1"/>
  <c r="J94" i="36"/>
  <c r="K94" i="36" s="1"/>
  <c r="O82" i="20"/>
  <c r="Q82" i="20" s="1"/>
  <c r="R82" i="20" s="1"/>
  <c r="N83" i="20"/>
  <c r="O83" i="20" s="1"/>
  <c r="Q83" i="20" s="1"/>
  <c r="R83" i="20" s="1"/>
  <c r="O90" i="24"/>
  <c r="Q90" i="24" s="1"/>
  <c r="R90" i="24" s="1"/>
  <c r="N91" i="24"/>
  <c r="R75" i="16" l="1"/>
  <c r="R84" i="17"/>
  <c r="R84" i="18"/>
  <c r="J134" i="36" s="1"/>
  <c r="K134" i="36" s="1"/>
  <c r="L134" i="36" s="1"/>
  <c r="R84" i="24"/>
  <c r="J56" i="36" s="1"/>
  <c r="K56" i="36" s="1"/>
  <c r="L56" i="36" s="1"/>
  <c r="R84" i="15"/>
  <c r="J95" i="36" s="1"/>
  <c r="K95" i="36" s="1"/>
  <c r="L95" i="36" s="1"/>
  <c r="R84" i="22"/>
  <c r="Q84" i="17"/>
  <c r="R84" i="19"/>
  <c r="J121" i="36" s="1"/>
  <c r="K121" i="36" s="1"/>
  <c r="L121" i="36" s="1"/>
  <c r="R84" i="21"/>
  <c r="Q84" i="24"/>
  <c r="Q84" i="18"/>
  <c r="Q84" i="19"/>
  <c r="Q84" i="15"/>
  <c r="Q75" i="16"/>
  <c r="Q84" i="22"/>
  <c r="Q84" i="21"/>
  <c r="R84" i="20"/>
  <c r="Q84" i="20"/>
  <c r="R88" i="16"/>
  <c r="L94" i="36"/>
  <c r="L29" i="36"/>
  <c r="L133" i="36"/>
  <c r="L42" i="36"/>
  <c r="L55" i="36"/>
  <c r="L68" i="36"/>
  <c r="L107" i="36"/>
  <c r="L120" i="36"/>
  <c r="J30" i="36"/>
  <c r="K30" i="36" s="1"/>
  <c r="L30" i="36" s="1"/>
  <c r="J69" i="36"/>
  <c r="K69" i="36" s="1"/>
  <c r="L69" i="36" s="1"/>
  <c r="J81" i="36"/>
  <c r="K81" i="36" s="1"/>
  <c r="J43" i="36"/>
  <c r="K43" i="36" s="1"/>
  <c r="L43" i="36" s="1"/>
  <c r="O81" i="16"/>
  <c r="Q81" i="16" s="1"/>
  <c r="R81" i="16" s="1"/>
  <c r="N82" i="16"/>
  <c r="N92" i="18"/>
  <c r="O92" i="18" s="1"/>
  <c r="Q92" i="18" s="1"/>
  <c r="R92" i="18" s="1"/>
  <c r="O91" i="18"/>
  <c r="Q91" i="18" s="1"/>
  <c r="R91" i="18" s="1"/>
  <c r="N92" i="15"/>
  <c r="O92" i="15" s="1"/>
  <c r="Q92" i="15" s="1"/>
  <c r="R92" i="15" s="1"/>
  <c r="O91" i="15"/>
  <c r="Q91" i="15" s="1"/>
  <c r="R91" i="15" s="1"/>
  <c r="N92" i="22"/>
  <c r="O92" i="22" s="1"/>
  <c r="Q92" i="22" s="1"/>
  <c r="R92" i="22" s="1"/>
  <c r="O91" i="22"/>
  <c r="Q91" i="22" s="1"/>
  <c r="J108" i="36"/>
  <c r="K108" i="36" s="1"/>
  <c r="L108" i="36" s="1"/>
  <c r="O91" i="19"/>
  <c r="Q91" i="19" s="1"/>
  <c r="R91" i="19" s="1"/>
  <c r="N92" i="19"/>
  <c r="O92" i="19" s="1"/>
  <c r="Q92" i="19" s="1"/>
  <c r="R92" i="19" s="1"/>
  <c r="N91" i="20"/>
  <c r="O90" i="20"/>
  <c r="Q90" i="20" s="1"/>
  <c r="N92" i="17"/>
  <c r="O92" i="17" s="1"/>
  <c r="Q92" i="17" s="1"/>
  <c r="R92" i="17" s="1"/>
  <c r="O91" i="17"/>
  <c r="Q91" i="17" s="1"/>
  <c r="R91" i="17" s="1"/>
  <c r="N92" i="21"/>
  <c r="O92" i="21" s="1"/>
  <c r="Q92" i="21" s="1"/>
  <c r="R92" i="21" s="1"/>
  <c r="O91" i="21"/>
  <c r="Q91" i="21" s="1"/>
  <c r="R91" i="21" s="1"/>
  <c r="O89" i="16"/>
  <c r="Q89" i="16" s="1"/>
  <c r="R89" i="16" s="1"/>
  <c r="N90" i="16"/>
  <c r="O91" i="24"/>
  <c r="Q91" i="24" s="1"/>
  <c r="R91" i="24" s="1"/>
  <c r="N92" i="24"/>
  <c r="O92" i="24" s="1"/>
  <c r="Q92" i="24" s="1"/>
  <c r="R92" i="24" s="1"/>
  <c r="R93" i="24" l="1"/>
  <c r="R93" i="17"/>
  <c r="R93" i="18"/>
  <c r="J135" i="36" s="1"/>
  <c r="K135" i="36" s="1"/>
  <c r="R93" i="19"/>
  <c r="J122" i="36" s="1"/>
  <c r="K122" i="36" s="1"/>
  <c r="Q93" i="17"/>
  <c r="Q93" i="24"/>
  <c r="Q93" i="18"/>
  <c r="Q93" i="19"/>
  <c r="R93" i="15"/>
  <c r="J96" i="36" s="1"/>
  <c r="K96" i="36" s="1"/>
  <c r="Q93" i="15"/>
  <c r="R91" i="22"/>
  <c r="R93" i="22" s="1"/>
  <c r="J70" i="36" s="1"/>
  <c r="K70" i="36" s="1"/>
  <c r="L70" i="36" s="1"/>
  <c r="Q93" i="22"/>
  <c r="R93" i="21"/>
  <c r="Q93" i="21"/>
  <c r="R90" i="20"/>
  <c r="L81" i="36"/>
  <c r="J44" i="36"/>
  <c r="K44" i="36" s="1"/>
  <c r="J57" i="36"/>
  <c r="K57" i="36" s="1"/>
  <c r="J109" i="36"/>
  <c r="K109" i="36" s="1"/>
  <c r="N83" i="16"/>
  <c r="O83" i="16" s="1"/>
  <c r="Q83" i="16" s="1"/>
  <c r="R83" i="16" s="1"/>
  <c r="O82" i="16"/>
  <c r="Q82" i="16" s="1"/>
  <c r="O90" i="16"/>
  <c r="Q90" i="16" s="1"/>
  <c r="R90" i="16" s="1"/>
  <c r="N91" i="16"/>
  <c r="O91" i="20"/>
  <c r="Q91" i="20" s="1"/>
  <c r="R91" i="20" s="1"/>
  <c r="N92" i="20"/>
  <c r="O92" i="20" s="1"/>
  <c r="Q92" i="20" s="1"/>
  <c r="R92" i="20" s="1"/>
  <c r="H9" i="19"/>
  <c r="P9" i="19" s="1"/>
  <c r="H8" i="19"/>
  <c r="P8" i="19" s="1"/>
  <c r="H7" i="19"/>
  <c r="P7" i="19" s="1"/>
  <c r="H6" i="19"/>
  <c r="P6" i="19" s="1"/>
  <c r="H5" i="19"/>
  <c r="P5" i="19" s="1"/>
  <c r="Q84" i="16" l="1"/>
  <c r="Q93" i="20"/>
  <c r="R93" i="20"/>
  <c r="J31" i="36" s="1"/>
  <c r="K31" i="36" s="1"/>
  <c r="R82" i="16"/>
  <c r="R84" i="16" s="1"/>
  <c r="J82" i="36" s="1"/>
  <c r="K82" i="36" s="1"/>
  <c r="L82" i="36" s="1"/>
  <c r="L122" i="36"/>
  <c r="L109" i="36"/>
  <c r="L57" i="36"/>
  <c r="L96" i="36"/>
  <c r="L135" i="36"/>
  <c r="L44" i="36"/>
  <c r="O91" i="16"/>
  <c r="Q91" i="16" s="1"/>
  <c r="N92" i="16"/>
  <c r="O92" i="16" s="1"/>
  <c r="Q92" i="16" s="1"/>
  <c r="R92" i="16" s="1"/>
  <c r="Q93" i="16" l="1"/>
  <c r="R91" i="16"/>
  <c r="L31" i="36"/>
  <c r="R93" i="16" l="1"/>
  <c r="J83" i="36" s="1"/>
  <c r="K83" i="36" s="1"/>
  <c r="L83" i="36" s="1"/>
  <c r="O8" i="15" l="1"/>
  <c r="Q8" i="15" s="1"/>
  <c r="R8" i="15" s="1"/>
  <c r="O9" i="15"/>
  <c r="Q9" i="15" s="1"/>
  <c r="R9" i="15" s="1"/>
  <c r="H5" i="22" l="1"/>
  <c r="P5" i="22" s="1"/>
  <c r="H9" i="22"/>
  <c r="P9" i="22" s="1"/>
  <c r="H8" i="22"/>
  <c r="P8" i="22" s="1"/>
  <c r="H7" i="22"/>
  <c r="P7" i="22" s="1"/>
  <c r="H6" i="22"/>
  <c r="P6" i="22" s="1"/>
  <c r="O5" i="22"/>
  <c r="Q5" i="22" l="1"/>
  <c r="R5" i="22" l="1"/>
  <c r="P9" i="24" l="1"/>
  <c r="P8" i="24"/>
  <c r="P7" i="24"/>
  <c r="P6" i="24"/>
  <c r="P5" i="24"/>
  <c r="P9" i="21"/>
  <c r="P8" i="21"/>
  <c r="P7" i="21"/>
  <c r="P6" i="21"/>
  <c r="O6" i="23" l="1"/>
  <c r="Q6" i="23" s="1"/>
  <c r="R6" i="23" l="1"/>
  <c r="O6" i="22" l="1"/>
  <c r="Q6" i="22" l="1"/>
  <c r="R6" i="22" l="1"/>
  <c r="O6" i="24"/>
  <c r="O8" i="20"/>
  <c r="O7" i="24" l="1"/>
  <c r="O5" i="24"/>
  <c r="O9" i="24" l="1"/>
  <c r="O8" i="24"/>
  <c r="O9" i="23" l="1"/>
  <c r="Q9" i="23" s="1"/>
  <c r="B46" i="38" l="1"/>
  <c r="C46" i="38"/>
  <c r="D62" i="38" s="1"/>
  <c r="E62" i="38" s="1"/>
  <c r="R9" i="23"/>
  <c r="O7" i="23"/>
  <c r="O8" i="23"/>
  <c r="O9" i="22"/>
  <c r="O7" i="22"/>
  <c r="O8" i="22"/>
  <c r="Q8" i="23" l="1"/>
  <c r="R8" i="23" s="1"/>
  <c r="Q7" i="23"/>
  <c r="Q10" i="23" s="1"/>
  <c r="B43" i="38" s="1"/>
  <c r="Q7" i="22"/>
  <c r="Q9" i="22"/>
  <c r="R9" i="22" s="1"/>
  <c r="Q8" i="22"/>
  <c r="R8" i="22" s="1"/>
  <c r="Q10" i="22" l="1"/>
  <c r="R7" i="22"/>
  <c r="R7" i="23"/>
  <c r="R10" i="23" s="1"/>
  <c r="C43" i="38" s="1"/>
  <c r="D59" i="38" s="1"/>
  <c r="E59" i="38" s="1"/>
  <c r="R10" i="22" l="1"/>
  <c r="O5" i="20"/>
  <c r="O9" i="21"/>
  <c r="O8" i="21"/>
  <c r="O6" i="21"/>
  <c r="R9" i="21" l="1"/>
  <c r="R6" i="21"/>
  <c r="R8" i="21"/>
  <c r="O7" i="20"/>
  <c r="O7" i="21"/>
  <c r="O6" i="20"/>
  <c r="O5" i="21"/>
  <c r="O9" i="20"/>
  <c r="Q10" i="21" l="1"/>
  <c r="B45" i="38" s="1"/>
  <c r="R5" i="21"/>
  <c r="R10" i="21" s="1"/>
  <c r="R7" i="21"/>
  <c r="O7" i="19"/>
  <c r="O8" i="19"/>
  <c r="O9" i="19"/>
  <c r="O7" i="17"/>
  <c r="O6" i="17"/>
  <c r="O5" i="17"/>
  <c r="O9" i="17"/>
  <c r="O8" i="17"/>
  <c r="O8" i="16"/>
  <c r="O9" i="16"/>
  <c r="O7" i="16"/>
  <c r="O6" i="16"/>
  <c r="O6" i="15"/>
  <c r="Q6" i="15" s="1"/>
  <c r="R6" i="15" s="1"/>
  <c r="O7" i="15"/>
  <c r="Q7" i="15" s="1"/>
  <c r="R7" i="15" s="1"/>
  <c r="Q10" i="20" l="1"/>
  <c r="B44" i="38" s="1"/>
  <c r="C45" i="38"/>
  <c r="D61" i="38" s="1"/>
  <c r="E61" i="38" s="1"/>
  <c r="Q10" i="17"/>
  <c r="R10" i="20"/>
  <c r="O5" i="15"/>
  <c r="Q9" i="19"/>
  <c r="R9" i="19" s="1"/>
  <c r="Q8" i="19"/>
  <c r="R8" i="19" s="1"/>
  <c r="Q7" i="19"/>
  <c r="R7" i="19" s="1"/>
  <c r="O5" i="19"/>
  <c r="O5" i="18"/>
  <c r="Q5" i="18" s="1"/>
  <c r="R5" i="18" s="1"/>
  <c r="O7" i="18"/>
  <c r="Q7" i="18" s="1"/>
  <c r="R7" i="18" s="1"/>
  <c r="O9" i="18"/>
  <c r="Q9" i="18" s="1"/>
  <c r="R9" i="18" s="1"/>
  <c r="O6" i="19"/>
  <c r="O6" i="18"/>
  <c r="Q6" i="18" s="1"/>
  <c r="R6" i="18" s="1"/>
  <c r="O8" i="18"/>
  <c r="Q8" i="18" s="1"/>
  <c r="R8" i="18" s="1"/>
  <c r="O5" i="16"/>
  <c r="Q5" i="15" l="1"/>
  <c r="R5" i="15" s="1"/>
  <c r="R10" i="15" s="1"/>
  <c r="C49" i="38" s="1"/>
  <c r="D65" i="38" s="1"/>
  <c r="E65" i="38" s="1"/>
  <c r="R10" i="17"/>
  <c r="B50" i="38"/>
  <c r="C50" i="38"/>
  <c r="D66" i="38" s="1"/>
  <c r="E66" i="38" s="1"/>
  <c r="C44" i="38"/>
  <c r="D60" i="38" s="1"/>
  <c r="E60" i="38" s="1"/>
  <c r="Q6" i="19"/>
  <c r="R6" i="19" s="1"/>
  <c r="Q5" i="19"/>
  <c r="Q10" i="19" s="1"/>
  <c r="Q10" i="16"/>
  <c r="Q10" i="18"/>
  <c r="Q10" i="15" l="1"/>
  <c r="B49" i="38" s="1"/>
  <c r="B52" i="38"/>
  <c r="R5" i="19"/>
  <c r="B51" i="38"/>
  <c r="R10" i="18" l="1"/>
  <c r="D68" i="38" s="1"/>
  <c r="E68" i="38" s="1"/>
  <c r="R10" i="19"/>
  <c r="C51" i="38" s="1"/>
  <c r="D67" i="38" s="1"/>
  <c r="E67" i="38" s="1"/>
  <c r="R10" i="16"/>
  <c r="C48" i="38" s="1"/>
  <c r="D64" i="38" s="1"/>
  <c r="E64" i="38" s="1"/>
</calcChain>
</file>

<file path=xl/comments1.xml><?xml version="1.0" encoding="utf-8"?>
<comments xmlns="http://schemas.openxmlformats.org/spreadsheetml/2006/main">
  <authors>
    <author>sukaew</author>
  </authors>
  <commentList>
    <comment ref="M23" authorId="0" shapeId="0">
      <text>
        <r>
          <rPr>
            <b/>
            <sz val="9"/>
            <color indexed="81"/>
            <rFont val="Tahoma"/>
            <family val="2"/>
          </rPr>
          <t>sukaew:</t>
        </r>
        <r>
          <rPr>
            <sz val="9"/>
            <color indexed="81"/>
            <rFont val="Tahoma"/>
            <family val="2"/>
          </rPr>
          <t xml:space="preserve">
RSB doesn't consider N in crop residue</t>
        </r>
      </text>
    </comment>
  </commentList>
</comments>
</file>

<file path=xl/comments2.xml><?xml version="1.0" encoding="utf-8"?>
<comments xmlns="http://schemas.openxmlformats.org/spreadsheetml/2006/main">
  <authors>
    <author>sukaew</author>
  </authors>
  <commentList>
    <comment ref="I10" authorId="0" shapeId="0">
      <text>
        <r>
          <rPr>
            <b/>
            <sz val="9"/>
            <color indexed="81"/>
            <rFont val="Tahoma"/>
            <family val="2"/>
          </rPr>
          <t>sukaew:</t>
        </r>
        <r>
          <rPr>
            <sz val="9"/>
            <color indexed="81"/>
            <rFont val="Tahoma"/>
            <family val="2"/>
          </rPr>
          <t xml:space="preserve">
Factor of 1.865 is for Mg of dry grain, assuming 9% moisture content and 2050 kg moist grain/ha.  
0.01 is IPCC EF for direct emission of N2O N.</t>
        </r>
      </text>
    </comment>
    <comment ref="L10" authorId="0" shapeId="0">
      <text>
        <r>
          <rPr>
            <b/>
            <sz val="9"/>
            <color indexed="81"/>
            <rFont val="Tahoma"/>
            <family val="2"/>
          </rPr>
          <t>sukaew:</t>
        </r>
        <r>
          <rPr>
            <sz val="9"/>
            <color indexed="81"/>
            <rFont val="Tahoma"/>
            <family val="2"/>
          </rPr>
          <t xml:space="preserve">
convertion factor (lower heating value of 1 kg HRJ = 44.06 MJ, 1.39 Mg rapeseed oill is used to produce 1 Mg HRJ, 2.2 Mg seed is used to produced 1 Mg rapeseed oil, and rapeseed yield = 1.865 Mg seed/ha</t>
        </r>
      </text>
    </comment>
  </commentList>
</comments>
</file>

<file path=xl/comments3.xml><?xml version="1.0" encoding="utf-8"?>
<comments xmlns="http://schemas.openxmlformats.org/spreadsheetml/2006/main">
  <authors>
    <author>Suchada Ukaew</author>
  </authors>
  <commentList>
    <comment ref="B4" authorId="0" shapeId="0">
      <text>
        <r>
          <rPr>
            <b/>
            <sz val="9"/>
            <color indexed="81"/>
            <rFont val="Tahoma"/>
            <family val="2"/>
          </rPr>
          <t>Suchada Ukaew:</t>
        </r>
        <r>
          <rPr>
            <sz val="9"/>
            <color indexed="81"/>
            <rFont val="Tahoma"/>
            <family val="2"/>
          </rPr>
          <t xml:space="preserve">
Data taken from USDA_ERS 
http://webcache.googleusercontent.com/search?q=cache:dZuqsR0jUWMJ:www.ers.usda.gov/datafiles/Wheat_Wheat_Data/Yearbook_Tables/US_Acreage_Production_Yield_and_Farm_Price/wheatyearbooktable01.xls+&amp;cd=1&amp;hl=en&amp;ct=clnk&amp;gl=us</t>
        </r>
      </text>
    </comment>
    <comment ref="B5" authorId="0" shapeId="0">
      <text>
        <r>
          <rPr>
            <b/>
            <sz val="9"/>
            <color indexed="81"/>
            <rFont val="Tahoma"/>
            <family val="2"/>
          </rPr>
          <t>Suchada Ukaew:</t>
        </r>
        <r>
          <rPr>
            <sz val="9"/>
            <color indexed="81"/>
            <rFont val="Tahoma"/>
            <family val="2"/>
          </rPr>
          <t xml:space="preserve">
harvest  index of 0.4 for wheat (Table 3), which means that 40% of the total above ground biomass would be seed and 60% would be the remaining residue. So, for a wheat yield of 2939 kg/ha, there should be (0.6 x 2939 / 0.4) = 4,409 kg/ha (4.409 Mg/ha) of residue produced. 
Ref: epic model parameter for cereal, oilseed (kinery 1995)</t>
        </r>
      </text>
    </comment>
    <comment ref="D5" authorId="0" shapeId="0">
      <text>
        <r>
          <rPr>
            <b/>
            <sz val="9"/>
            <color indexed="81"/>
            <rFont val="Tahoma"/>
            <family val="2"/>
          </rPr>
          <t>Suchada Ukaew:</t>
        </r>
        <r>
          <rPr>
            <sz val="9"/>
            <color indexed="81"/>
            <rFont val="Tahoma"/>
            <family val="2"/>
          </rPr>
          <t xml:space="preserve">
harvest  index of 0.3 for canola (Table 3), which means that 30% of the total above ground biomass would be seed and 70% would be the remaining residue. So, for a rapeseed yield of 2,050 kg/ha, there should be (0.7 x 2050 / 0.3) = 4,783 kg/ha (4.783 Mg/ha) of residue produced. 
Ref: epic model parameter for cereal, oilseed (kinery 1995)</t>
        </r>
      </text>
    </comment>
    <comment ref="B6" authorId="0" shapeId="0">
      <text>
        <r>
          <rPr>
            <b/>
            <sz val="9"/>
            <color indexed="81"/>
            <rFont val="Tahoma"/>
            <family val="2"/>
          </rPr>
          <t>Suchada Ukaew:</t>
        </r>
        <r>
          <rPr>
            <sz val="9"/>
            <color indexed="81"/>
            <rFont val="Tahoma"/>
            <family val="2"/>
          </rPr>
          <t xml:space="preserve">
Data taken from epic model parameter for cereal, oilseed (kinery 1995) Table 4</t>
        </r>
      </text>
    </comment>
    <comment ref="D6" authorId="0" shapeId="0">
      <text>
        <r>
          <rPr>
            <b/>
            <sz val="9"/>
            <color indexed="81"/>
            <rFont val="Tahoma"/>
            <family val="2"/>
          </rPr>
          <t>Suchada Ukaew:</t>
        </r>
        <r>
          <rPr>
            <sz val="9"/>
            <color indexed="81"/>
            <rFont val="Tahoma"/>
            <family val="2"/>
          </rPr>
          <t xml:space="preserve">
Data taken from: epic model parameter for cereal, oilseed (kinery 1995) Table 4</t>
        </r>
      </text>
    </comment>
  </commentList>
</comments>
</file>

<file path=xl/sharedStrings.xml><?xml version="1.0" encoding="utf-8"?>
<sst xmlns="http://schemas.openxmlformats.org/spreadsheetml/2006/main" count="2876" uniqueCount="159">
  <si>
    <t>WA</t>
  </si>
  <si>
    <t>OR</t>
  </si>
  <si>
    <t>MT</t>
  </si>
  <si>
    <t>SD</t>
  </si>
  <si>
    <t>ND</t>
  </si>
  <si>
    <t>KS</t>
  </si>
  <si>
    <t>NE</t>
  </si>
  <si>
    <t>OK</t>
  </si>
  <si>
    <t>TX</t>
  </si>
  <si>
    <t>State</t>
  </si>
  <si>
    <t>EF1</t>
  </si>
  <si>
    <t>CA</t>
  </si>
  <si>
    <t>ammonia</t>
  </si>
  <si>
    <t>ammonium nitrate</t>
  </si>
  <si>
    <t>ammonium sulphate</t>
  </si>
  <si>
    <t>Quantity (kg N/ha)</t>
  </si>
  <si>
    <t>urea</t>
  </si>
  <si>
    <t>EF4</t>
  </si>
  <si>
    <t>Where:</t>
  </si>
  <si>
    <t xml:space="preserve">EF1 = </t>
  </si>
  <si>
    <t>Nsyn =</t>
  </si>
  <si>
    <t>Synthetic N fertilizer (kg N/ha)</t>
  </si>
  <si>
    <t>Emission factor for N2O emissions from N input</t>
  </si>
  <si>
    <t>Ncrop =</t>
  </si>
  <si>
    <t>N contain in wheat crop (kg N/ha) residue</t>
  </si>
  <si>
    <t>Emission factor of N type</t>
  </si>
  <si>
    <t>EF4 =</t>
  </si>
  <si>
    <t>Emission factor for N2O emissions from NH3 volatilization</t>
  </si>
  <si>
    <t>County</t>
  </si>
  <si>
    <t>Morrow</t>
  </si>
  <si>
    <t>Sherman</t>
  </si>
  <si>
    <t>Umatilla</t>
  </si>
  <si>
    <t>Texas</t>
  </si>
  <si>
    <t>Cimarron</t>
  </si>
  <si>
    <t>Washita</t>
  </si>
  <si>
    <t>Kiowa</t>
  </si>
  <si>
    <t>Jackson</t>
  </si>
  <si>
    <t>Potter</t>
  </si>
  <si>
    <t>Lyman</t>
  </si>
  <si>
    <t>Hand</t>
  </si>
  <si>
    <t>Sully</t>
  </si>
  <si>
    <t>Spink</t>
  </si>
  <si>
    <t>Lincoln</t>
  </si>
  <si>
    <t>Grant</t>
  </si>
  <si>
    <t>Adams</t>
  </si>
  <si>
    <t>Walla walla</t>
  </si>
  <si>
    <t>Dallam</t>
  </si>
  <si>
    <t>Deaf smith</t>
  </si>
  <si>
    <t>Greeley</t>
  </si>
  <si>
    <t>Wichita</t>
  </si>
  <si>
    <t>Scott</t>
  </si>
  <si>
    <t>Hill</t>
  </si>
  <si>
    <t>Chouteau</t>
  </si>
  <si>
    <t>Sheridan</t>
  </si>
  <si>
    <t>Roosevelt</t>
  </si>
  <si>
    <t>Fergus</t>
  </si>
  <si>
    <t>Whitman</t>
  </si>
  <si>
    <t>Ochiltree</t>
  </si>
  <si>
    <t>Hansford</t>
  </si>
  <si>
    <t>Average</t>
  </si>
  <si>
    <t xml:space="preserve">Perkins </t>
  </si>
  <si>
    <t xml:space="preserve">Box Butte </t>
  </si>
  <si>
    <t xml:space="preserve">Deuel </t>
  </si>
  <si>
    <t xml:space="preserve">Furnas </t>
  </si>
  <si>
    <t xml:space="preserve">Kern </t>
  </si>
  <si>
    <t xml:space="preserve">Kings </t>
  </si>
  <si>
    <t xml:space="preserve">Fresno </t>
  </si>
  <si>
    <t xml:space="preserve">Yolo </t>
  </si>
  <si>
    <t xml:space="preserve">Ward </t>
  </si>
  <si>
    <t xml:space="preserve">McLean </t>
  </si>
  <si>
    <t xml:space="preserve">Bottineau </t>
  </si>
  <si>
    <t xml:space="preserve">Hettinger </t>
  </si>
  <si>
    <t>Thomas</t>
  </si>
  <si>
    <t>Cheyenne</t>
  </si>
  <si>
    <t>Finney</t>
  </si>
  <si>
    <t>Cavalier</t>
  </si>
  <si>
    <t>Imperial</t>
  </si>
  <si>
    <t>Gillium</t>
  </si>
  <si>
    <t>Malheur</t>
  </si>
  <si>
    <t>Precipitation (mm)</t>
  </si>
  <si>
    <t>SOCREF                  (ton C/ha)</t>
  </si>
  <si>
    <t>Rapeseed root depth (m)</t>
  </si>
  <si>
    <t>Unit uptake for whole plant                           (kg N/Mg dry seed)</t>
  </si>
  <si>
    <t>Rape seed Yield                      (Mg dry seed/ha)</t>
  </si>
  <si>
    <t>N uptake               (kg N/ha)</t>
  </si>
  <si>
    <t>Nitrate losses                      (kg N in NO3/ha)</t>
  </si>
  <si>
    <t>N2O (RSB)                      (g CO2/MJ)</t>
  </si>
  <si>
    <t>N in rapeseed straw (kg N/kg residue)</t>
  </si>
  <si>
    <t>N in wheat straw (kg N/kg residue)</t>
  </si>
  <si>
    <t>Wheat residue (Mg/ha)</t>
  </si>
  <si>
    <t>Low (50%lower than medium)</t>
  </si>
  <si>
    <t>High (50%higher than medium)</t>
  </si>
  <si>
    <t>Medium</t>
  </si>
  <si>
    <t>Two-Year Wheat</t>
  </si>
  <si>
    <t>Wheat Residue input (Mg/ha)</t>
  </si>
  <si>
    <t>One-Year Rapesed</t>
  </si>
  <si>
    <t>Rapeseed residue               (Mg/ha)</t>
  </si>
  <si>
    <t>Scenario</t>
  </si>
  <si>
    <t>Temperature (C)</t>
  </si>
  <si>
    <t>Nsyn                                    (kg N / ha)</t>
  </si>
  <si>
    <t>Nitrate leaching from N fertilization</t>
  </si>
  <si>
    <t>scenario 1</t>
  </si>
  <si>
    <t>scenario 2</t>
  </si>
  <si>
    <t>scenario 3</t>
  </si>
  <si>
    <t>scenario 9</t>
  </si>
  <si>
    <t>scenario 8</t>
  </si>
  <si>
    <t>scenario 7</t>
  </si>
  <si>
    <t>scenario 6</t>
  </si>
  <si>
    <t>scenario 5</t>
  </si>
  <si>
    <t>scenario 4</t>
  </si>
  <si>
    <t>Nsyn                                   (kg N/ha)</t>
  </si>
  <si>
    <t>NH3                             (kg NH3/ha)</t>
  </si>
  <si>
    <t>N2O                                         (kg N2O/t dry seed)</t>
  </si>
  <si>
    <t>RSB                                             (kg N2O / Mg dry seed)</t>
  </si>
  <si>
    <t>N2O from volatilization (kg N2O/t dry seed)</t>
  </si>
  <si>
    <t>Total N2O                            (kg N2O/t dry seed)</t>
  </si>
  <si>
    <t>Total N2O emissions from the RSB method</t>
  </si>
  <si>
    <t>N2O                                         (kg/ha)</t>
  </si>
  <si>
    <t>Low</t>
  </si>
  <si>
    <t>High</t>
  </si>
  <si>
    <t>N2O from leaching               (kg N2O/t dry seed)</t>
  </si>
  <si>
    <t>Nitrate leaching from N contain in crop residue</t>
  </si>
  <si>
    <t>RSB                                               (kg N2O / Mg dry seed)</t>
  </si>
  <si>
    <r>
      <t>Clay content</t>
    </r>
    <r>
      <rPr>
        <vertAlign val="superscript"/>
        <sz val="10"/>
        <rFont val="Times New Roman"/>
        <family val="1"/>
      </rPr>
      <t xml:space="preserve"> </t>
    </r>
  </si>
  <si>
    <r>
      <t>C</t>
    </r>
    <r>
      <rPr>
        <vertAlign val="subscript"/>
        <sz val="10"/>
        <rFont val="Times New Roman"/>
        <family val="1"/>
      </rPr>
      <t>org</t>
    </r>
    <r>
      <rPr>
        <sz val="10"/>
        <rFont val="Times New Roman"/>
        <family val="1"/>
      </rPr>
      <t xml:space="preserve"> (%)</t>
    </r>
  </si>
  <si>
    <r>
      <rPr>
        <sz val="10"/>
        <rFont val="Times New Roman"/>
        <family val="1"/>
      </rPr>
      <t>C</t>
    </r>
    <r>
      <rPr>
        <vertAlign val="subscript"/>
        <sz val="10"/>
        <rFont val="Times New Roman"/>
        <family val="1"/>
      </rPr>
      <t>org/</t>
    </r>
    <r>
      <rPr>
        <sz val="10"/>
        <rFont val="Times New Roman"/>
        <family val="1"/>
      </rPr>
      <t>N</t>
    </r>
    <r>
      <rPr>
        <vertAlign val="subscript"/>
        <sz val="10"/>
        <rFont val="Times New Roman"/>
        <family val="1"/>
      </rPr>
      <t>tot</t>
    </r>
  </si>
  <si>
    <r>
      <t>N</t>
    </r>
    <r>
      <rPr>
        <vertAlign val="subscript"/>
        <sz val="10"/>
        <rFont val="Times New Roman"/>
        <family val="1"/>
      </rPr>
      <t>org</t>
    </r>
    <r>
      <rPr>
        <sz val="10"/>
        <rFont val="Times New Roman"/>
        <family val="1"/>
      </rPr>
      <t>/N</t>
    </r>
    <r>
      <rPr>
        <vertAlign val="subscript"/>
        <sz val="10"/>
        <rFont val="Times New Roman"/>
        <family val="1"/>
      </rPr>
      <t>tot</t>
    </r>
  </si>
  <si>
    <r>
      <t>Soil volume (m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/ha)</t>
    </r>
  </si>
  <si>
    <r>
      <t>N</t>
    </r>
    <r>
      <rPr>
        <vertAlign val="subscript"/>
        <sz val="10"/>
        <rFont val="Times New Roman"/>
        <family val="1"/>
      </rPr>
      <t>org</t>
    </r>
    <r>
      <rPr>
        <sz val="10"/>
        <rFont val="Times New Roman"/>
        <family val="1"/>
      </rPr>
      <t xml:space="preserve">                                     (kg N/ha)</t>
    </r>
  </si>
  <si>
    <r>
      <t>Bulk density</t>
    </r>
    <r>
      <rPr>
        <vertAlign val="superscript"/>
        <sz val="10"/>
        <rFont val="Times New Roman"/>
        <family val="1"/>
      </rPr>
      <t xml:space="preserve">                  </t>
    </r>
    <r>
      <rPr>
        <sz val="10"/>
        <rFont val="Times New Roman"/>
        <family val="1"/>
      </rPr>
      <t>(kg soil/m</t>
    </r>
    <r>
      <rPr>
        <vertAlign val="superscript"/>
        <sz val="10"/>
        <rFont val="Times New Roman"/>
        <family val="1"/>
      </rPr>
      <t>3</t>
    </r>
    <r>
      <rPr>
        <sz val="10"/>
        <rFont val="Times New Roman"/>
        <family val="1"/>
      </rPr>
      <t>)</t>
    </r>
  </si>
  <si>
    <t>N uptake                 (kg N/ha)</t>
  </si>
  <si>
    <t>Unit uptake for whole plant                                                       (kg N/Mg dry seed)</t>
  </si>
  <si>
    <t>1. Direct N2O Emission from soil from the RSB method</t>
  </si>
  <si>
    <t>2. NH3 volatilization from the RSB method</t>
  </si>
  <si>
    <t>N2O                                (kg/t dry seed)</t>
  </si>
  <si>
    <t xml:space="preserve"> yield                                                   (dry ton/ha)</t>
  </si>
  <si>
    <t>3. Nitrate leaching from the RSB method</t>
  </si>
  <si>
    <t>N2O from soil                (kg N2O/t dry seed)</t>
  </si>
  <si>
    <t>Total N2O                      (kg/dry t seed)</t>
  </si>
  <si>
    <t>Nitrate leaching                  (kg/dry t seed)</t>
  </si>
  <si>
    <t>Direct N2O emissions               (kg/dry t seed)</t>
  </si>
  <si>
    <t>Calcualtion of N2O emissions using the oundtable on sustainable biomaterials method</t>
  </si>
  <si>
    <r>
      <t>N</t>
    </r>
    <r>
      <rPr>
        <vertAlign val="subscript"/>
        <sz val="10"/>
        <rFont val="Times New Roman"/>
        <family val="1"/>
      </rPr>
      <t xml:space="preserve">R </t>
    </r>
    <r>
      <rPr>
        <sz val="10"/>
        <rFont val="Times New Roman"/>
        <family val="1"/>
      </rPr>
      <t xml:space="preserve">          (Mg/ha)</t>
    </r>
  </si>
  <si>
    <r>
      <t>N</t>
    </r>
    <r>
      <rPr>
        <vertAlign val="subscript"/>
        <sz val="10"/>
        <rFont val="Times New Roman"/>
        <family val="1"/>
      </rPr>
      <t>WW</t>
    </r>
    <r>
      <rPr>
        <sz val="10"/>
        <rFont val="Times New Roman"/>
        <family val="1"/>
      </rPr>
      <t xml:space="preserve"> (Mg/ha)</t>
    </r>
  </si>
  <si>
    <r>
      <t>N</t>
    </r>
    <r>
      <rPr>
        <vertAlign val="subscript"/>
        <sz val="10"/>
        <rFont val="Times New Roman"/>
        <family val="1"/>
      </rPr>
      <t xml:space="preserve">WWR  </t>
    </r>
    <r>
      <rPr>
        <sz val="10"/>
        <rFont val="Times New Roman"/>
        <family val="1"/>
      </rPr>
      <t xml:space="preserve">                  (Mg N/ha)</t>
    </r>
  </si>
  <si>
    <t>Abbreviation</t>
  </si>
  <si>
    <r>
      <t>N</t>
    </r>
    <r>
      <rPr>
        <b/>
        <vertAlign val="subscript"/>
        <sz val="10"/>
        <rFont val="Times New Roman"/>
        <family val="1"/>
      </rPr>
      <t>WW</t>
    </r>
  </si>
  <si>
    <r>
      <t>N</t>
    </r>
    <r>
      <rPr>
        <b/>
        <vertAlign val="subscript"/>
        <sz val="10"/>
        <rFont val="Times New Roman"/>
        <family val="1"/>
      </rPr>
      <t>R</t>
    </r>
  </si>
  <si>
    <r>
      <t>N</t>
    </r>
    <r>
      <rPr>
        <b/>
        <vertAlign val="subscript"/>
        <sz val="10"/>
        <rFont val="Times New Roman"/>
        <family val="1"/>
      </rPr>
      <t>WWR</t>
    </r>
  </si>
  <si>
    <t>Rapeseed residue (Mg/ha)</t>
  </si>
  <si>
    <t>Wheat yield (Mg/ha)</t>
  </si>
  <si>
    <t>Wheat crop</t>
  </si>
  <si>
    <t>Rapeseed crop</t>
  </si>
  <si>
    <t>Rapeseed yield (Mg/ha)</t>
  </si>
  <si>
    <t>Amount of wheat and rapeseed residue left on the field</t>
  </si>
  <si>
    <t>Calculation of N in crop residue for wheat and rapeseed</t>
  </si>
  <si>
    <r>
      <t>=  total N contained in crop residue for wheat-wheat-rapeseed rotation (Mg N ha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>)</t>
    </r>
  </si>
  <si>
    <r>
      <t>= N contained in wheat residue for two years (Mg N ha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), </t>
    </r>
  </si>
  <si>
    <r>
      <t>= N contained in rapeseed residue for one year  (Mg N ha</t>
    </r>
    <r>
      <rPr>
        <vertAlign val="superscript"/>
        <sz val="10"/>
        <color theme="1"/>
        <rFont val="Times New Roman"/>
        <family val="1"/>
      </rPr>
      <t>-1</t>
    </r>
    <r>
      <rPr>
        <sz val="10"/>
        <color theme="1"/>
        <rFont val="Times New Roman"/>
        <family val="1"/>
      </rPr>
      <t xml:space="preserve">),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</si>
</sst>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(* #,##0.00_);_(* \(#,##0.00\);_(* &quot;-&quot;??_);_(@_)"/>
    <numFmt numFmtId="164" formatCode="0.000000"/>
    <numFmt numFmtId="165" formatCode="0.000"/>
    <numFmt numFmtId="166" formatCode="0.0"/>
    <numFmt numFmtId="167" formatCode="0.0000"/>
    <numFmt numFmtId="168" formatCode="0.00000"/>
    <numFmt numFmtId="169" formatCode="_(* #,##0_);_(* \(#,##0\);_(* &quot;-&quot;??_);_(@_)"/>
  </numFmts>
  <fonts count="26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name val="Times New Roman"/>
      <family val="1"/>
    </font>
    <font>
      <vertAlign val="subscript"/>
      <sz val="10"/>
      <name val="Times New Roman"/>
      <family val="1"/>
    </font>
    <font>
      <sz val="10"/>
      <color theme="1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12"/>
      <name val="Times New Roman"/>
      <family val="1"/>
    </font>
    <font>
      <b/>
      <sz val="10"/>
      <color theme="1"/>
      <name val="Times New Roman"/>
      <family val="1"/>
    </font>
    <font>
      <sz val="10"/>
      <color rgb="FFFF0000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7030A0"/>
      <name val="Times New Roman"/>
      <family val="1"/>
    </font>
    <font>
      <vertAlign val="subscript"/>
      <sz val="10"/>
      <color rgb="FF7030A0"/>
      <name val="Times New Roman"/>
      <family val="1"/>
    </font>
    <font>
      <b/>
      <sz val="12"/>
      <color theme="1"/>
      <name val="Times New Roman"/>
      <family val="1"/>
    </font>
    <font>
      <b/>
      <vertAlign val="subscript"/>
      <sz val="10"/>
      <name val="Times New Roman"/>
      <family val="1"/>
    </font>
    <font>
      <vertAlign val="superscript"/>
      <sz val="10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11">
    <xf numFmtId="0" fontId="0" fillId="0" borderId="0"/>
    <xf numFmtId="0" fontId="5" fillId="0" borderId="0"/>
    <xf numFmtId="0" fontId="4" fillId="0" borderId="0"/>
    <xf numFmtId="43" fontId="8" fillId="0" borderId="0" applyFont="0" applyFill="0" applyBorder="0" applyAlignment="0" applyProtection="0"/>
    <xf numFmtId="0" fontId="3" fillId="0" borderId="0"/>
    <xf numFmtId="0" fontId="3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155">
    <xf numFmtId="0" fontId="0" fillId="0" borderId="0" xfId="0"/>
    <xf numFmtId="0" fontId="9" fillId="0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9" fillId="8" borderId="2" xfId="0" applyFont="1" applyFill="1" applyBorder="1" applyAlignment="1">
      <alignment horizontal="center" vertical="center" wrapText="1"/>
    </xf>
    <xf numFmtId="0" fontId="12" fillId="8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9" fontId="9" fillId="0" borderId="1" xfId="3" applyNumberFormat="1" applyFont="1" applyFill="1" applyBorder="1" applyAlignment="1">
      <alignment horizontal="center" vertical="center" wrapText="1"/>
    </xf>
    <xf numFmtId="167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1" fontId="14" fillId="0" borderId="0" xfId="0" applyNumberFormat="1" applyFont="1" applyFill="1" applyBorder="1" applyAlignment="1">
      <alignment horizontal="center" vertical="center" wrapText="1"/>
    </xf>
    <xf numFmtId="0" fontId="10" fillId="9" borderId="1" xfId="0" applyFont="1" applyFill="1" applyBorder="1" applyAlignment="1">
      <alignment horizontal="center" vertical="center" wrapText="1"/>
    </xf>
    <xf numFmtId="2" fontId="10" fillId="9" borderId="1" xfId="0" applyNumberFormat="1" applyFont="1" applyFill="1" applyBorder="1" applyAlignment="1">
      <alignment horizontal="center" vertical="center" wrapText="1"/>
    </xf>
    <xf numFmtId="167" fontId="10" fillId="9" borderId="1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167" fontId="10" fillId="0" borderId="0" xfId="0" applyNumberFormat="1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center" vertical="center" wrapText="1"/>
    </xf>
    <xf numFmtId="169" fontId="9" fillId="0" borderId="0" xfId="3" applyNumberFormat="1" applyFont="1" applyFill="1" applyBorder="1" applyAlignment="1">
      <alignment horizontal="center" vertical="center" wrapText="1"/>
    </xf>
    <xf numFmtId="167" fontId="9" fillId="0" borderId="0" xfId="0" applyNumberFormat="1" applyFont="1" applyFill="1" applyBorder="1" applyAlignment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1" fontId="15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167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Fill="1" applyBorder="1" applyAlignment="1">
      <alignment horizontal="center" vertical="center" wrapText="1"/>
    </xf>
    <xf numFmtId="0" fontId="10" fillId="9" borderId="4" xfId="0" applyFont="1" applyFill="1" applyBorder="1" applyAlignment="1">
      <alignment horizontal="center" vertical="center" wrapText="1"/>
    </xf>
    <xf numFmtId="2" fontId="10" fillId="9" borderId="4" xfId="0" applyNumberFormat="1" applyFont="1" applyFill="1" applyBorder="1" applyAlignment="1">
      <alignment horizontal="center" vertical="center" wrapText="1"/>
    </xf>
    <xf numFmtId="167" fontId="10" fillId="9" borderId="4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1" fontId="13" fillId="0" borderId="0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 applyBorder="1" applyAlignment="1">
      <alignment horizontal="center" vertical="center" wrapText="1"/>
    </xf>
    <xf numFmtId="167" fontId="13" fillId="0" borderId="0" xfId="0" applyNumberFormat="1" applyFont="1" applyFill="1" applyBorder="1" applyAlignment="1">
      <alignment horizontal="center" vertical="center" wrapText="1"/>
    </xf>
    <xf numFmtId="1" fontId="17" fillId="0" borderId="0" xfId="0" applyNumberFormat="1" applyFont="1" applyFill="1" applyBorder="1" applyAlignment="1">
      <alignment horizontal="center" vertical="center" wrapText="1"/>
    </xf>
    <xf numFmtId="167" fontId="17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23" fillId="0" borderId="0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167" fontId="13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vertical="center" wrapText="1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/>
    </xf>
    <xf numFmtId="2" fontId="13" fillId="0" borderId="1" xfId="0" applyNumberFormat="1" applyFont="1" applyBorder="1" applyAlignment="1">
      <alignment horizontal="center" vertical="center"/>
    </xf>
    <xf numFmtId="165" fontId="13" fillId="0" borderId="3" xfId="0" applyNumberFormat="1" applyFont="1" applyBorder="1" applyAlignment="1">
      <alignment horizontal="center" vertical="center"/>
    </xf>
    <xf numFmtId="2" fontId="13" fillId="0" borderId="0" xfId="0" applyNumberFormat="1" applyFont="1" applyFill="1" applyBorder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165" fontId="13" fillId="0" borderId="0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0" xfId="0" applyFont="1"/>
    <xf numFmtId="165" fontId="13" fillId="0" borderId="0" xfId="0" applyNumberFormat="1" applyFont="1"/>
    <xf numFmtId="0" fontId="17" fillId="0" borderId="0" xfId="0" applyFont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0" fillId="6" borderId="0" xfId="0" applyFont="1" applyFill="1" applyBorder="1" applyAlignment="1">
      <alignment horizontal="center" vertical="center"/>
    </xf>
    <xf numFmtId="0" fontId="10" fillId="6" borderId="0" xfId="0" applyFont="1" applyFill="1" applyBorder="1" applyAlignment="1">
      <alignment horizontal="left" vertical="center" wrapText="1"/>
    </xf>
    <xf numFmtId="0" fontId="17" fillId="0" borderId="0" xfId="0" applyFont="1" applyAlignment="1">
      <alignment vertical="center"/>
    </xf>
    <xf numFmtId="0" fontId="17" fillId="6" borderId="0" xfId="0" applyFont="1" applyFill="1" applyAlignment="1">
      <alignment horizontal="left" vertical="center"/>
    </xf>
    <xf numFmtId="0" fontId="10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2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2" fontId="9" fillId="0" borderId="0" xfId="0" applyNumberFormat="1" applyFont="1" applyFill="1" applyAlignment="1">
      <alignment horizontal="center" vertical="center" wrapText="1"/>
    </xf>
    <xf numFmtId="0" fontId="9" fillId="0" borderId="5" xfId="0" applyFont="1" applyFill="1" applyBorder="1" applyAlignment="1">
      <alignment horizontal="left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5" fontId="9" fillId="0" borderId="0" xfId="0" applyNumberFormat="1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168" fontId="9" fillId="0" borderId="0" xfId="0" applyNumberFormat="1" applyFont="1" applyFill="1" applyAlignment="1">
      <alignment horizontal="center" vertical="center" wrapText="1"/>
    </xf>
    <xf numFmtId="0" fontId="9" fillId="0" borderId="0" xfId="0" applyFont="1" applyFill="1" applyBorder="1" applyAlignment="1">
      <alignment vertical="center"/>
    </xf>
    <xf numFmtId="0" fontId="9" fillId="0" borderId="6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/>
    </xf>
    <xf numFmtId="0" fontId="9" fillId="10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9" fillId="11" borderId="1" xfId="0" applyFont="1" applyFill="1" applyBorder="1" applyAlignment="1">
      <alignment horizontal="center" vertical="center" wrapText="1"/>
    </xf>
    <xf numFmtId="0" fontId="10" fillId="9" borderId="0" xfId="0" applyFont="1" applyFill="1" applyBorder="1" applyAlignment="1">
      <alignment vertical="center"/>
    </xf>
    <xf numFmtId="0" fontId="9" fillId="9" borderId="0" xfId="0" applyFont="1" applyFill="1" applyBorder="1" applyAlignment="1">
      <alignment vertical="center" wrapText="1"/>
    </xf>
    <xf numFmtId="0" fontId="9" fillId="9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12" borderId="1" xfId="0" applyFont="1" applyFill="1" applyBorder="1" applyAlignment="1">
      <alignment horizontal="center" vertical="center" wrapText="1"/>
    </xf>
    <xf numFmtId="0" fontId="13" fillId="0" borderId="0" xfId="0" quotePrefix="1" applyFont="1"/>
    <xf numFmtId="0" fontId="17" fillId="0" borderId="0" xfId="0" applyFont="1"/>
    <xf numFmtId="0" fontId="13" fillId="0" borderId="0" xfId="0" applyFont="1" applyAlignment="1">
      <alignment horizontal="center"/>
    </xf>
    <xf numFmtId="0" fontId="13" fillId="4" borderId="1" xfId="0" applyFont="1" applyFill="1" applyBorder="1" applyAlignment="1">
      <alignment horizontal="left"/>
    </xf>
    <xf numFmtId="0" fontId="13" fillId="4" borderId="1" xfId="0" applyFont="1" applyFill="1" applyBorder="1"/>
    <xf numFmtId="0" fontId="13" fillId="10" borderId="1" xfId="0" applyFont="1" applyFill="1" applyBorder="1" applyAlignment="1">
      <alignment horizontal="center"/>
    </xf>
    <xf numFmtId="0" fontId="13" fillId="10" borderId="1" xfId="0" applyFont="1" applyFill="1" applyBorder="1"/>
    <xf numFmtId="0" fontId="13" fillId="0" borderId="1" xfId="0" applyFont="1" applyBorder="1"/>
    <xf numFmtId="2" fontId="13" fillId="0" borderId="1" xfId="0" applyNumberFormat="1" applyFont="1" applyBorder="1"/>
    <xf numFmtId="0" fontId="13" fillId="0" borderId="1" xfId="0" applyFont="1" applyBorder="1" applyAlignment="1">
      <alignment horizontal="left"/>
    </xf>
    <xf numFmtId="165" fontId="13" fillId="0" borderId="1" xfId="0" applyNumberFormat="1" applyFont="1" applyBorder="1"/>
    <xf numFmtId="0" fontId="13" fillId="7" borderId="1" xfId="0" applyFont="1" applyFill="1" applyBorder="1" applyAlignment="1">
      <alignment horizontal="center"/>
    </xf>
    <xf numFmtId="2" fontId="13" fillId="0" borderId="0" xfId="0" applyNumberFormat="1" applyFont="1"/>
    <xf numFmtId="166" fontId="13" fillId="0" borderId="0" xfId="0" applyNumberFormat="1" applyFont="1"/>
  </cellXfs>
  <cellStyles count="11">
    <cellStyle name="Comma" xfId="3" builtinId="3"/>
    <cellStyle name="Normal" xfId="0" builtinId="0"/>
    <cellStyle name="Normal 2" xfId="2"/>
    <cellStyle name="Normal 2 2" xfId="5"/>
    <cellStyle name="Normal 2 2 2" xfId="9"/>
    <cellStyle name="Normal 2 3" xfId="4"/>
    <cellStyle name="Normal 2 3 2" xfId="8"/>
    <cellStyle name="Normal 2 4" xfId="7"/>
    <cellStyle name="Normal 2 5" xfId="10"/>
    <cellStyle name="Normal 3" xfId="6"/>
    <cellStyle name="ปกติ 2" xfId="1"/>
  </cellStyles>
  <dxfs count="0"/>
  <tableStyles count="0" defaultTableStyle="TableStyleMedium9" defaultPivotStyle="PivotStyleLight16"/>
  <colors>
    <mruColors>
      <color rgb="FFFFFFCC"/>
      <color rgb="FFFFCC66"/>
      <color rgb="FF663300"/>
      <color rgb="FFCCFF99"/>
      <color rgb="FF66FFFF"/>
      <color rgb="FFFF99FF"/>
      <color rgb="FFCC9900"/>
      <color rgb="FF996633"/>
      <color rgb="FFFF99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dir.mtu.edu\home\Desktop\Xbox\Research\Publish\LUC%20paper\SOC%20Manuscript\Submit%202\submit\submit2_11-29-14\N2O%20emissions%20%2012_1_1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2O from residue"/>
      <sheetName val="GHG by state_R2"/>
      <sheetName val="GHG by state_org"/>
      <sheetName val="Crop&amp;input data"/>
      <sheetName val="sensivity analysis"/>
      <sheetName val="summary N2O"/>
      <sheetName val="CA"/>
      <sheetName val="KS"/>
      <sheetName val="MT"/>
      <sheetName val="ND"/>
      <sheetName val="NE"/>
      <sheetName val="OK"/>
      <sheetName val="OR"/>
      <sheetName val="SD"/>
      <sheetName val="TX"/>
      <sheetName val="WA"/>
    </sheetNames>
    <sheetDataSet>
      <sheetData sheetId="0"/>
      <sheetData sheetId="1"/>
      <sheetData sheetId="2"/>
      <sheetData sheetId="3">
        <row r="12">
          <cell r="B12">
            <v>1.865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69"/>
  <sheetViews>
    <sheetView zoomScaleNormal="100" workbookViewId="0">
      <selection activeCell="D20" sqref="D20"/>
    </sheetView>
  </sheetViews>
  <sheetFormatPr defaultColWidth="9.08984375" defaultRowHeight="16" customHeight="1"/>
  <cols>
    <col min="1" max="1" width="9.08984375" style="70"/>
    <col min="2" max="2" width="15.36328125" style="70" customWidth="1"/>
    <col min="3" max="3" width="18.36328125" style="70" customWidth="1"/>
    <col min="4" max="4" width="16" style="70" customWidth="1"/>
    <col min="5" max="5" width="15.36328125" style="70" customWidth="1"/>
    <col min="6" max="6" width="12" style="70" customWidth="1"/>
    <col min="7" max="8" width="9.08984375" style="70"/>
    <col min="9" max="9" width="11.36328125" style="70" customWidth="1"/>
    <col min="10" max="10" width="9.08984375" style="70"/>
    <col min="11" max="11" width="12.6328125" style="70" customWidth="1"/>
    <col min="12" max="12" width="12" style="70" customWidth="1"/>
    <col min="13" max="13" width="17" style="70" customWidth="1"/>
    <col min="14" max="16384" width="9.08984375" style="70"/>
  </cols>
  <sheetData>
    <row r="1" spans="1:13" ht="16" customHeight="1">
      <c r="A1" s="97" t="s">
        <v>132</v>
      </c>
      <c r="B1" s="97"/>
      <c r="C1" s="97"/>
      <c r="D1" s="96"/>
    </row>
    <row r="2" spans="1:13" s="102" customFormat="1" ht="16" customHeight="1">
      <c r="A2" s="101"/>
      <c r="B2" s="101"/>
      <c r="C2" s="101"/>
      <c r="D2" s="34"/>
    </row>
    <row r="3" spans="1:13" ht="16" customHeight="1">
      <c r="A3" s="103" t="s">
        <v>9</v>
      </c>
      <c r="B3" s="104" t="s">
        <v>10</v>
      </c>
      <c r="C3" s="103" t="s">
        <v>110</v>
      </c>
      <c r="D3" s="105" t="s">
        <v>117</v>
      </c>
      <c r="E3" s="106" t="s">
        <v>134</v>
      </c>
    </row>
    <row r="4" spans="1:13" ht="16" customHeight="1">
      <c r="A4" s="103"/>
      <c r="B4" s="107"/>
      <c r="C4" s="103"/>
      <c r="D4" s="105"/>
      <c r="E4" s="108"/>
    </row>
    <row r="5" spans="1:13" ht="16" customHeight="1">
      <c r="A5" s="73" t="s">
        <v>11</v>
      </c>
      <c r="B5" s="73">
        <v>0.01</v>
      </c>
      <c r="C5" s="7">
        <v>36.74</v>
      </c>
      <c r="D5" s="7">
        <f>(44/28)*B5*(C5)</f>
        <v>0.57734285714285727</v>
      </c>
      <c r="E5" s="7">
        <f>D5/1.865</f>
        <v>0.30956721562619693</v>
      </c>
    </row>
    <row r="6" spans="1:13" ht="16" customHeight="1">
      <c r="A6" s="73" t="s">
        <v>5</v>
      </c>
      <c r="B6" s="73">
        <v>0.01</v>
      </c>
      <c r="C6" s="7">
        <f>$C5</f>
        <v>36.74</v>
      </c>
      <c r="D6" s="7">
        <f t="shared" ref="D6:D14" si="0">(44/28)*B6*(C6)</f>
        <v>0.57734285714285727</v>
      </c>
      <c r="E6" s="7">
        <f t="shared" ref="E6:E14" si="1">D6/1.865</f>
        <v>0.30956721562619693</v>
      </c>
    </row>
    <row r="7" spans="1:13" ht="16" customHeight="1">
      <c r="A7" s="73" t="s">
        <v>2</v>
      </c>
      <c r="B7" s="73">
        <v>0.01</v>
      </c>
      <c r="C7" s="7">
        <f t="shared" ref="C7:C14" si="2">$C6</f>
        <v>36.74</v>
      </c>
      <c r="D7" s="7">
        <f t="shared" si="0"/>
        <v>0.57734285714285727</v>
      </c>
      <c r="E7" s="7">
        <f>D7/1.865</f>
        <v>0.30956721562619693</v>
      </c>
    </row>
    <row r="8" spans="1:13" ht="16" customHeight="1">
      <c r="A8" s="73" t="s">
        <v>4</v>
      </c>
      <c r="B8" s="73">
        <v>0.01</v>
      </c>
      <c r="C8" s="7">
        <f t="shared" si="2"/>
        <v>36.74</v>
      </c>
      <c r="D8" s="7">
        <f t="shared" si="0"/>
        <v>0.57734285714285727</v>
      </c>
      <c r="E8" s="7">
        <f t="shared" si="1"/>
        <v>0.30956721562619693</v>
      </c>
      <c r="H8" s="74"/>
      <c r="I8" s="74"/>
      <c r="J8" s="74"/>
      <c r="K8" s="74"/>
      <c r="L8" s="74"/>
      <c r="M8" s="74"/>
    </row>
    <row r="9" spans="1:13" ht="16" customHeight="1">
      <c r="A9" s="73" t="s">
        <v>6</v>
      </c>
      <c r="B9" s="73">
        <v>0.01</v>
      </c>
      <c r="C9" s="7">
        <f t="shared" si="2"/>
        <v>36.74</v>
      </c>
      <c r="D9" s="7">
        <f>(44/28)*B9*(C9)</f>
        <v>0.57734285714285727</v>
      </c>
      <c r="E9" s="7">
        <f t="shared" si="1"/>
        <v>0.30956721562619693</v>
      </c>
      <c r="H9" s="74"/>
      <c r="I9" s="74"/>
      <c r="J9" s="74"/>
      <c r="K9" s="74"/>
      <c r="L9" s="74"/>
      <c r="M9" s="74"/>
    </row>
    <row r="10" spans="1:13" ht="16" customHeight="1">
      <c r="A10" s="73" t="s">
        <v>7</v>
      </c>
      <c r="B10" s="73">
        <v>0.01</v>
      </c>
      <c r="C10" s="7">
        <f t="shared" si="2"/>
        <v>36.74</v>
      </c>
      <c r="D10" s="7">
        <f t="shared" si="0"/>
        <v>0.57734285714285727</v>
      </c>
      <c r="E10" s="7">
        <f t="shared" si="1"/>
        <v>0.30956721562619693</v>
      </c>
      <c r="H10" s="75"/>
      <c r="I10" s="75"/>
      <c r="J10" s="75"/>
      <c r="K10" s="75"/>
      <c r="L10" s="75"/>
      <c r="M10" s="75"/>
    </row>
    <row r="11" spans="1:13" ht="16" customHeight="1">
      <c r="A11" s="73" t="s">
        <v>1</v>
      </c>
      <c r="B11" s="73">
        <v>0.01</v>
      </c>
      <c r="C11" s="7">
        <f t="shared" si="2"/>
        <v>36.74</v>
      </c>
      <c r="D11" s="7">
        <f t="shared" si="0"/>
        <v>0.57734285714285727</v>
      </c>
      <c r="E11" s="7">
        <f t="shared" si="1"/>
        <v>0.30956721562619693</v>
      </c>
      <c r="H11" s="75"/>
      <c r="I11" s="75"/>
      <c r="J11" s="75"/>
      <c r="K11" s="75"/>
      <c r="L11" s="75"/>
      <c r="M11" s="75"/>
    </row>
    <row r="12" spans="1:13" ht="16" customHeight="1">
      <c r="A12" s="73" t="s">
        <v>3</v>
      </c>
      <c r="B12" s="73">
        <v>0.01</v>
      </c>
      <c r="C12" s="7">
        <f t="shared" si="2"/>
        <v>36.74</v>
      </c>
      <c r="D12" s="7">
        <f t="shared" si="0"/>
        <v>0.57734285714285727</v>
      </c>
      <c r="E12" s="7">
        <f t="shared" si="1"/>
        <v>0.30956721562619693</v>
      </c>
      <c r="H12" s="74"/>
      <c r="I12" s="74"/>
      <c r="J12" s="74"/>
      <c r="K12" s="74"/>
      <c r="L12" s="74"/>
      <c r="M12" s="74"/>
    </row>
    <row r="13" spans="1:13" ht="16" customHeight="1">
      <c r="A13" s="73" t="s">
        <v>8</v>
      </c>
      <c r="B13" s="73">
        <v>0.01</v>
      </c>
      <c r="C13" s="7">
        <f t="shared" si="2"/>
        <v>36.74</v>
      </c>
      <c r="D13" s="7">
        <f t="shared" si="0"/>
        <v>0.57734285714285727</v>
      </c>
      <c r="E13" s="7">
        <f t="shared" si="1"/>
        <v>0.30956721562619693</v>
      </c>
      <c r="H13" s="74"/>
      <c r="I13" s="74"/>
      <c r="J13" s="74"/>
      <c r="K13" s="74"/>
      <c r="L13" s="74"/>
      <c r="M13" s="74"/>
    </row>
    <row r="14" spans="1:13" ht="16" customHeight="1">
      <c r="A14" s="73" t="s">
        <v>0</v>
      </c>
      <c r="B14" s="73">
        <v>0.01</v>
      </c>
      <c r="C14" s="7">
        <f t="shared" si="2"/>
        <v>36.74</v>
      </c>
      <c r="D14" s="7">
        <f t="shared" si="0"/>
        <v>0.57734285714285727</v>
      </c>
      <c r="E14" s="7">
        <f t="shared" si="1"/>
        <v>0.30956721562619693</v>
      </c>
      <c r="H14" s="74"/>
      <c r="I14" s="74"/>
      <c r="J14" s="74"/>
      <c r="K14" s="74"/>
      <c r="L14" s="74"/>
      <c r="M14" s="74"/>
    </row>
    <row r="15" spans="1:13" ht="16" customHeight="1">
      <c r="A15" s="76" t="s">
        <v>18</v>
      </c>
      <c r="B15" s="76"/>
      <c r="C15" s="76"/>
      <c r="D15" s="76"/>
      <c r="E15" s="76"/>
      <c r="F15" s="76"/>
      <c r="H15" s="76"/>
      <c r="I15" s="76"/>
      <c r="J15" s="76"/>
      <c r="K15" s="76"/>
      <c r="L15" s="76"/>
      <c r="M15" s="76"/>
    </row>
    <row r="16" spans="1:13" ht="16" customHeight="1">
      <c r="A16" s="75" t="s">
        <v>19</v>
      </c>
      <c r="B16" s="77" t="s">
        <v>22</v>
      </c>
      <c r="C16" s="77"/>
      <c r="D16" s="77"/>
      <c r="E16" s="77"/>
      <c r="F16" s="77"/>
      <c r="H16" s="76"/>
      <c r="I16" s="76"/>
      <c r="J16" s="76"/>
      <c r="K16" s="76"/>
      <c r="L16" s="76"/>
      <c r="M16" s="76"/>
    </row>
    <row r="17" spans="1:13" ht="16" customHeight="1">
      <c r="A17" s="76" t="s">
        <v>20</v>
      </c>
      <c r="B17" s="77" t="s">
        <v>21</v>
      </c>
      <c r="C17" s="77"/>
      <c r="D17" s="77"/>
      <c r="E17" s="76"/>
      <c r="F17" s="76"/>
      <c r="H17" s="76"/>
      <c r="I17" s="76"/>
      <c r="J17" s="76"/>
      <c r="K17" s="76"/>
      <c r="L17" s="76"/>
      <c r="M17" s="76"/>
    </row>
    <row r="18" spans="1:13" ht="16" customHeight="1">
      <c r="A18" s="76" t="s">
        <v>23</v>
      </c>
      <c r="B18" s="77" t="s">
        <v>24</v>
      </c>
      <c r="C18" s="77"/>
      <c r="D18" s="77"/>
      <c r="E18" s="76"/>
      <c r="F18" s="76"/>
      <c r="H18" s="76"/>
      <c r="I18" s="76"/>
      <c r="J18" s="76"/>
      <c r="K18" s="76"/>
      <c r="L18" s="76"/>
      <c r="M18" s="76"/>
    </row>
    <row r="19" spans="1:13" ht="16" customHeight="1">
      <c r="H19" s="76"/>
      <c r="I19" s="76"/>
      <c r="J19" s="76"/>
      <c r="K19" s="76"/>
      <c r="L19" s="76"/>
      <c r="M19" s="76"/>
    </row>
    <row r="21" spans="1:13" ht="16" customHeight="1">
      <c r="A21" s="98" t="s">
        <v>133</v>
      </c>
      <c r="B21" s="98"/>
      <c r="C21" s="98"/>
      <c r="D21" s="34"/>
      <c r="E21" s="34"/>
      <c r="F21" s="34"/>
      <c r="G21" s="34"/>
    </row>
    <row r="23" spans="1:13" ht="16" customHeight="1">
      <c r="A23" s="103" t="s">
        <v>9</v>
      </c>
      <c r="B23" s="103" t="s">
        <v>17</v>
      </c>
      <c r="C23" s="104" t="s">
        <v>135</v>
      </c>
      <c r="D23" s="103" t="s">
        <v>25</v>
      </c>
      <c r="E23" s="103"/>
      <c r="F23" s="103"/>
      <c r="G23" s="103"/>
      <c r="H23" s="103" t="s">
        <v>15</v>
      </c>
      <c r="I23" s="103"/>
      <c r="J23" s="103"/>
      <c r="K23" s="103"/>
      <c r="L23" s="106" t="s">
        <v>111</v>
      </c>
      <c r="M23" s="106" t="s">
        <v>112</v>
      </c>
    </row>
    <row r="24" spans="1:13" ht="28" customHeight="1">
      <c r="A24" s="103"/>
      <c r="B24" s="103"/>
      <c r="C24" s="107"/>
      <c r="D24" s="109" t="s">
        <v>12</v>
      </c>
      <c r="E24" s="110" t="s">
        <v>13</v>
      </c>
      <c r="F24" s="110" t="s">
        <v>14</v>
      </c>
      <c r="G24" s="111" t="s">
        <v>16</v>
      </c>
      <c r="H24" s="109" t="s">
        <v>12</v>
      </c>
      <c r="I24" s="110" t="s">
        <v>13</v>
      </c>
      <c r="J24" s="110" t="s">
        <v>14</v>
      </c>
      <c r="K24" s="111" t="s">
        <v>16</v>
      </c>
      <c r="L24" s="108"/>
      <c r="M24" s="108"/>
    </row>
    <row r="25" spans="1:13" ht="16" customHeight="1">
      <c r="A25" s="73" t="s">
        <v>11</v>
      </c>
      <c r="B25" s="73">
        <v>0.01</v>
      </c>
      <c r="C25" s="7">
        <f>1.865</f>
        <v>1.865</v>
      </c>
      <c r="D25" s="79">
        <v>0.03</v>
      </c>
      <c r="E25" s="80">
        <v>0.02</v>
      </c>
      <c r="F25" s="80">
        <v>0.08</v>
      </c>
      <c r="G25" s="80">
        <v>0.15</v>
      </c>
      <c r="H25" s="82">
        <v>0</v>
      </c>
      <c r="I25" s="83">
        <v>0</v>
      </c>
      <c r="J25" s="82">
        <v>0</v>
      </c>
      <c r="K25" s="82">
        <v>36.74</v>
      </c>
      <c r="L25" s="83">
        <f>(D25*H25)+(E25*I25)+(J25*F25)+(K25*G25)</f>
        <v>5.5110000000000001</v>
      </c>
      <c r="M25" s="84">
        <f>(44/28)*B25*L25/(C25)</f>
        <v>4.6435082343929533E-2</v>
      </c>
    </row>
    <row r="26" spans="1:13" ht="16" customHeight="1">
      <c r="A26" s="73" t="s">
        <v>5</v>
      </c>
      <c r="B26" s="73">
        <v>0.01</v>
      </c>
      <c r="C26" s="7">
        <f>$C25</f>
        <v>1.865</v>
      </c>
      <c r="D26" s="79">
        <v>0.03</v>
      </c>
      <c r="E26" s="80">
        <v>0.02</v>
      </c>
      <c r="F26" s="80">
        <v>0.08</v>
      </c>
      <c r="G26" s="80">
        <v>0.15</v>
      </c>
      <c r="H26" s="82">
        <v>0</v>
      </c>
      <c r="I26" s="83">
        <v>0</v>
      </c>
      <c r="J26" s="82">
        <v>0</v>
      </c>
      <c r="K26" s="82">
        <v>36.74</v>
      </c>
      <c r="L26" s="83">
        <f t="shared" ref="L26:L34" si="3">(D26*H26)+(E26*I26)+(J26*F26)+(K26*G26)</f>
        <v>5.5110000000000001</v>
      </c>
      <c r="M26" s="84">
        <f>(44/28)*B26*L26/(C26)</f>
        <v>4.6435082343929533E-2</v>
      </c>
    </row>
    <row r="27" spans="1:13" ht="16" customHeight="1">
      <c r="A27" s="73" t="s">
        <v>2</v>
      </c>
      <c r="B27" s="73">
        <v>0.01</v>
      </c>
      <c r="C27" s="7">
        <f t="shared" ref="C27:C34" si="4">$C26</f>
        <v>1.865</v>
      </c>
      <c r="D27" s="79">
        <v>0.03</v>
      </c>
      <c r="E27" s="80">
        <v>0.02</v>
      </c>
      <c r="F27" s="80">
        <v>0.08</v>
      </c>
      <c r="G27" s="80">
        <v>0.15</v>
      </c>
      <c r="H27" s="82">
        <v>0</v>
      </c>
      <c r="I27" s="83">
        <v>0</v>
      </c>
      <c r="J27" s="82">
        <v>0</v>
      </c>
      <c r="K27" s="82">
        <v>36.74</v>
      </c>
      <c r="L27" s="83">
        <f t="shared" si="3"/>
        <v>5.5110000000000001</v>
      </c>
      <c r="M27" s="84">
        <f t="shared" ref="M27:M34" si="5">(44/28)*B27*L27/(C27)</f>
        <v>4.6435082343929533E-2</v>
      </c>
    </row>
    <row r="28" spans="1:13" ht="16" customHeight="1">
      <c r="A28" s="73" t="s">
        <v>4</v>
      </c>
      <c r="B28" s="73">
        <v>0.01</v>
      </c>
      <c r="C28" s="7">
        <f t="shared" si="4"/>
        <v>1.865</v>
      </c>
      <c r="D28" s="79">
        <v>0.03</v>
      </c>
      <c r="E28" s="80">
        <v>0.02</v>
      </c>
      <c r="F28" s="80">
        <v>0.08</v>
      </c>
      <c r="G28" s="80">
        <v>0.15</v>
      </c>
      <c r="H28" s="82">
        <v>0</v>
      </c>
      <c r="I28" s="83">
        <v>0</v>
      </c>
      <c r="J28" s="82">
        <v>0</v>
      </c>
      <c r="K28" s="82">
        <v>36.74</v>
      </c>
      <c r="L28" s="83">
        <f t="shared" si="3"/>
        <v>5.5110000000000001</v>
      </c>
      <c r="M28" s="84">
        <f t="shared" si="5"/>
        <v>4.6435082343929533E-2</v>
      </c>
    </row>
    <row r="29" spans="1:13" ht="16" customHeight="1">
      <c r="A29" s="73" t="s">
        <v>6</v>
      </c>
      <c r="B29" s="73">
        <v>0.01</v>
      </c>
      <c r="C29" s="7">
        <f t="shared" si="4"/>
        <v>1.865</v>
      </c>
      <c r="D29" s="79">
        <v>0.03</v>
      </c>
      <c r="E29" s="80">
        <v>0.02</v>
      </c>
      <c r="F29" s="80">
        <v>0.08</v>
      </c>
      <c r="G29" s="80">
        <v>0.15</v>
      </c>
      <c r="H29" s="82">
        <v>0</v>
      </c>
      <c r="I29" s="83">
        <v>0</v>
      </c>
      <c r="J29" s="82">
        <v>0</v>
      </c>
      <c r="K29" s="82">
        <v>36.74</v>
      </c>
      <c r="L29" s="83">
        <f t="shared" si="3"/>
        <v>5.5110000000000001</v>
      </c>
      <c r="M29" s="84">
        <f t="shared" si="5"/>
        <v>4.6435082343929533E-2</v>
      </c>
    </row>
    <row r="30" spans="1:13" ht="16" customHeight="1">
      <c r="A30" s="73" t="s">
        <v>7</v>
      </c>
      <c r="B30" s="73">
        <v>0.01</v>
      </c>
      <c r="C30" s="7">
        <f t="shared" si="4"/>
        <v>1.865</v>
      </c>
      <c r="D30" s="79">
        <v>0.03</v>
      </c>
      <c r="E30" s="80">
        <v>0.02</v>
      </c>
      <c r="F30" s="80">
        <v>0.08</v>
      </c>
      <c r="G30" s="80">
        <v>0.15</v>
      </c>
      <c r="H30" s="82">
        <v>0</v>
      </c>
      <c r="I30" s="83">
        <v>0</v>
      </c>
      <c r="J30" s="82">
        <v>0</v>
      </c>
      <c r="K30" s="82">
        <v>36.74</v>
      </c>
      <c r="L30" s="83">
        <f t="shared" si="3"/>
        <v>5.5110000000000001</v>
      </c>
      <c r="M30" s="84">
        <f t="shared" si="5"/>
        <v>4.6435082343929533E-2</v>
      </c>
    </row>
    <row r="31" spans="1:13" ht="16" customHeight="1">
      <c r="A31" s="73" t="s">
        <v>1</v>
      </c>
      <c r="B31" s="73">
        <v>0.01</v>
      </c>
      <c r="C31" s="7">
        <f t="shared" si="4"/>
        <v>1.865</v>
      </c>
      <c r="D31" s="79">
        <v>0.03</v>
      </c>
      <c r="E31" s="80">
        <v>0.02</v>
      </c>
      <c r="F31" s="80">
        <v>0.08</v>
      </c>
      <c r="G31" s="80">
        <v>0.15</v>
      </c>
      <c r="H31" s="82">
        <v>0</v>
      </c>
      <c r="I31" s="83">
        <v>0</v>
      </c>
      <c r="J31" s="82">
        <v>0</v>
      </c>
      <c r="K31" s="82">
        <v>36.74</v>
      </c>
      <c r="L31" s="83">
        <f t="shared" si="3"/>
        <v>5.5110000000000001</v>
      </c>
      <c r="M31" s="84">
        <f t="shared" si="5"/>
        <v>4.6435082343929533E-2</v>
      </c>
    </row>
    <row r="32" spans="1:13" ht="16" customHeight="1">
      <c r="A32" s="73" t="s">
        <v>3</v>
      </c>
      <c r="B32" s="73">
        <v>0.01</v>
      </c>
      <c r="C32" s="7">
        <f t="shared" si="4"/>
        <v>1.865</v>
      </c>
      <c r="D32" s="79">
        <v>0.03</v>
      </c>
      <c r="E32" s="80">
        <v>0.02</v>
      </c>
      <c r="F32" s="80">
        <v>0.08</v>
      </c>
      <c r="G32" s="80">
        <v>0.15</v>
      </c>
      <c r="H32" s="82">
        <v>0</v>
      </c>
      <c r="I32" s="83">
        <v>0</v>
      </c>
      <c r="J32" s="82">
        <v>0</v>
      </c>
      <c r="K32" s="82">
        <v>36.74</v>
      </c>
      <c r="L32" s="83">
        <f t="shared" si="3"/>
        <v>5.5110000000000001</v>
      </c>
      <c r="M32" s="84">
        <f t="shared" si="5"/>
        <v>4.6435082343929533E-2</v>
      </c>
    </row>
    <row r="33" spans="1:13" ht="16" customHeight="1">
      <c r="A33" s="73" t="s">
        <v>8</v>
      </c>
      <c r="B33" s="73">
        <v>0.01</v>
      </c>
      <c r="C33" s="7">
        <f t="shared" si="4"/>
        <v>1.865</v>
      </c>
      <c r="D33" s="79">
        <v>0.03</v>
      </c>
      <c r="E33" s="80">
        <v>0.02</v>
      </c>
      <c r="F33" s="80">
        <v>0.08</v>
      </c>
      <c r="G33" s="80">
        <v>0.15</v>
      </c>
      <c r="H33" s="82">
        <v>0</v>
      </c>
      <c r="I33" s="83">
        <v>0</v>
      </c>
      <c r="J33" s="82">
        <v>0</v>
      </c>
      <c r="K33" s="82">
        <v>36.74</v>
      </c>
      <c r="L33" s="83">
        <f t="shared" si="3"/>
        <v>5.5110000000000001</v>
      </c>
      <c r="M33" s="84">
        <f t="shared" si="5"/>
        <v>4.6435082343929533E-2</v>
      </c>
    </row>
    <row r="34" spans="1:13" ht="16" customHeight="1">
      <c r="A34" s="73" t="s">
        <v>0</v>
      </c>
      <c r="B34" s="73">
        <v>0.01</v>
      </c>
      <c r="C34" s="7">
        <f t="shared" si="4"/>
        <v>1.865</v>
      </c>
      <c r="D34" s="79">
        <v>0.03</v>
      </c>
      <c r="E34" s="80">
        <v>0.02</v>
      </c>
      <c r="F34" s="80">
        <v>0.08</v>
      </c>
      <c r="G34" s="80">
        <v>0.15</v>
      </c>
      <c r="H34" s="82">
        <v>0</v>
      </c>
      <c r="I34" s="83">
        <v>0</v>
      </c>
      <c r="J34" s="82">
        <v>0</v>
      </c>
      <c r="K34" s="82">
        <v>36.74</v>
      </c>
      <c r="L34" s="83">
        <f t="shared" si="3"/>
        <v>5.5110000000000001</v>
      </c>
      <c r="M34" s="84">
        <f t="shared" si="5"/>
        <v>4.6435082343929533E-2</v>
      </c>
    </row>
    <row r="35" spans="1:13" ht="16" customHeight="1">
      <c r="A35" s="64" t="s">
        <v>18</v>
      </c>
      <c r="B35" s="64"/>
      <c r="C35" s="64"/>
      <c r="D35" s="64"/>
      <c r="E35" s="64"/>
      <c r="F35" s="64"/>
      <c r="G35" s="64"/>
      <c r="H35" s="85"/>
      <c r="I35" s="86"/>
      <c r="J35" s="85"/>
      <c r="K35" s="85"/>
      <c r="L35" s="86"/>
      <c r="M35" s="87"/>
    </row>
    <row r="36" spans="1:13" ht="16" customHeight="1">
      <c r="A36" s="48" t="s">
        <v>26</v>
      </c>
      <c r="B36" s="77" t="s">
        <v>27</v>
      </c>
      <c r="C36" s="77"/>
      <c r="D36" s="77"/>
      <c r="E36" s="77"/>
      <c r="F36" s="77"/>
    </row>
    <row r="37" spans="1:13" ht="16" customHeight="1">
      <c r="G37" s="74"/>
    </row>
    <row r="39" spans="1:13" ht="16" customHeight="1">
      <c r="A39" s="100" t="s">
        <v>136</v>
      </c>
      <c r="B39" s="100"/>
      <c r="C39" s="100"/>
      <c r="D39" s="99"/>
    </row>
    <row r="41" spans="1:13" ht="16" customHeight="1">
      <c r="A41" s="103" t="s">
        <v>9</v>
      </c>
      <c r="B41" s="112" t="s">
        <v>85</v>
      </c>
      <c r="C41" s="112" t="s">
        <v>113</v>
      </c>
    </row>
    <row r="42" spans="1:13" ht="16" customHeight="1">
      <c r="A42" s="103"/>
      <c r="B42" s="112"/>
      <c r="C42" s="112"/>
    </row>
    <row r="43" spans="1:13" ht="16" customHeight="1">
      <c r="A43" s="79" t="s">
        <v>11</v>
      </c>
      <c r="B43" s="88">
        <f>CA!Q10</f>
        <v>22.235041811622246</v>
      </c>
      <c r="C43" s="88">
        <f>CA!R10</f>
        <v>3.172863356324198E-2</v>
      </c>
    </row>
    <row r="44" spans="1:13" ht="16" customHeight="1">
      <c r="A44" s="73" t="s">
        <v>5</v>
      </c>
      <c r="B44" s="88">
        <f>KS!Q10</f>
        <v>23.71403906424198</v>
      </c>
      <c r="C44" s="88">
        <f>KS!R10</f>
        <v>3.3839111351724696E-2</v>
      </c>
    </row>
    <row r="45" spans="1:13" ht="16" customHeight="1">
      <c r="A45" s="73" t="s">
        <v>2</v>
      </c>
      <c r="B45" s="88">
        <f>MT!Q10</f>
        <v>24.315880088213799</v>
      </c>
      <c r="C45" s="88">
        <f>MT!R10</f>
        <v>3.4697917621337684E-2</v>
      </c>
    </row>
    <row r="46" spans="1:13" ht="16" customHeight="1">
      <c r="A46" s="73" t="s">
        <v>4</v>
      </c>
      <c r="B46" s="88">
        <f>ND!Q10</f>
        <v>29.277382703184127</v>
      </c>
      <c r="C46" s="88">
        <f>ND!R10</f>
        <v>4.1777809790066414E-2</v>
      </c>
    </row>
    <row r="47" spans="1:13" ht="16" customHeight="1">
      <c r="A47" s="73" t="s">
        <v>6</v>
      </c>
      <c r="B47" s="88">
        <f>NE!Q10</f>
        <v>28.436587700147932</v>
      </c>
      <c r="C47" s="88">
        <f>NE!R10</f>
        <v>4.0578024479152534E-2</v>
      </c>
    </row>
    <row r="48" spans="1:13" ht="16" customHeight="1">
      <c r="A48" s="73" t="s">
        <v>7</v>
      </c>
      <c r="B48" s="88">
        <f>OK!Q10</f>
        <v>22.537330040249973</v>
      </c>
      <c r="C48" s="88">
        <f>OK!R10</f>
        <v>3.2159988382264505E-2</v>
      </c>
    </row>
    <row r="49" spans="1:5" ht="16" customHeight="1">
      <c r="A49" s="73" t="s">
        <v>1</v>
      </c>
      <c r="B49" s="88">
        <f>OR!Q10</f>
        <v>23.718416687876605</v>
      </c>
      <c r="C49" s="88">
        <f>OR!R10</f>
        <v>3.384535806883715E-2</v>
      </c>
    </row>
    <row r="50" spans="1:5" ht="16" customHeight="1">
      <c r="A50" s="73" t="s">
        <v>3</v>
      </c>
      <c r="B50" s="88">
        <f>SD!Q10</f>
        <v>26.535070425222862</v>
      </c>
      <c r="C50" s="88">
        <f>SD!R10</f>
        <v>3.7864625271657612E-2</v>
      </c>
    </row>
    <row r="51" spans="1:5" ht="16" customHeight="1">
      <c r="A51" s="73" t="s">
        <v>8</v>
      </c>
      <c r="B51" s="88">
        <f>TX!Q10</f>
        <v>23.409137310613012</v>
      </c>
      <c r="C51" s="88">
        <f>TX!R10</f>
        <v>3.3404027123161345E-2</v>
      </c>
    </row>
    <row r="52" spans="1:5" s="74" customFormat="1" ht="16" customHeight="1">
      <c r="A52" s="73" t="s">
        <v>0</v>
      </c>
      <c r="B52" s="88">
        <f>WA!Q10</f>
        <v>25.110655194589533</v>
      </c>
      <c r="C52" s="88">
        <f>WA!R10</f>
        <v>3.5832034135667837E-2</v>
      </c>
    </row>
    <row r="53" spans="1:5" ht="16" customHeight="1">
      <c r="A53" s="48"/>
      <c r="B53" s="74"/>
      <c r="C53" s="74"/>
    </row>
    <row r="55" spans="1:5" s="95" customFormat="1" ht="16" customHeight="1">
      <c r="A55" s="100" t="s">
        <v>116</v>
      </c>
      <c r="B55" s="100"/>
      <c r="C55" s="100"/>
    </row>
    <row r="57" spans="1:5" ht="16" customHeight="1">
      <c r="A57" s="71" t="s">
        <v>9</v>
      </c>
      <c r="B57" s="78" t="s">
        <v>137</v>
      </c>
      <c r="C57" s="78" t="s">
        <v>114</v>
      </c>
      <c r="D57" s="78" t="s">
        <v>120</v>
      </c>
      <c r="E57" s="89" t="s">
        <v>115</v>
      </c>
    </row>
    <row r="58" spans="1:5" ht="16" customHeight="1">
      <c r="A58" s="72"/>
      <c r="B58" s="81"/>
      <c r="C58" s="81"/>
      <c r="D58" s="81"/>
      <c r="E58" s="90"/>
    </row>
    <row r="59" spans="1:5" ht="16" customHeight="1">
      <c r="A59" s="73" t="s">
        <v>11</v>
      </c>
      <c r="B59" s="83">
        <f>E5</f>
        <v>0.30956721562619693</v>
      </c>
      <c r="C59" s="83">
        <f>M25</f>
        <v>4.6435082343929533E-2</v>
      </c>
      <c r="D59" s="88">
        <f>C43</f>
        <v>3.172863356324198E-2</v>
      </c>
      <c r="E59" s="91">
        <f>B59+C59+D59</f>
        <v>0.38773093153336841</v>
      </c>
    </row>
    <row r="60" spans="1:5" ht="16" customHeight="1">
      <c r="A60" s="73" t="s">
        <v>5</v>
      </c>
      <c r="B60" s="83">
        <f>E6</f>
        <v>0.30956721562619693</v>
      </c>
      <c r="C60" s="83">
        <f>M26</f>
        <v>4.6435082343929533E-2</v>
      </c>
      <c r="D60" s="88">
        <f t="shared" ref="D60:D68" si="6">C44</f>
        <v>3.3839111351724696E-2</v>
      </c>
      <c r="E60" s="91">
        <f t="shared" ref="E60:E68" si="7">B60+C60+D60</f>
        <v>0.38984140932185113</v>
      </c>
    </row>
    <row r="61" spans="1:5" ht="16" customHeight="1">
      <c r="A61" s="73" t="s">
        <v>2</v>
      </c>
      <c r="B61" s="83">
        <f>E7</f>
        <v>0.30956721562619693</v>
      </c>
      <c r="C61" s="83">
        <f>M27</f>
        <v>4.6435082343929533E-2</v>
      </c>
      <c r="D61" s="88">
        <f t="shared" si="6"/>
        <v>3.4697917621337684E-2</v>
      </c>
      <c r="E61" s="91">
        <f t="shared" si="7"/>
        <v>0.39070021559146412</v>
      </c>
    </row>
    <row r="62" spans="1:5" ht="16" customHeight="1">
      <c r="A62" s="73" t="s">
        <v>4</v>
      </c>
      <c r="B62" s="83">
        <f>E8</f>
        <v>0.30956721562619693</v>
      </c>
      <c r="C62" s="83">
        <f>M28</f>
        <v>4.6435082343929533E-2</v>
      </c>
      <c r="D62" s="88">
        <f t="shared" si="6"/>
        <v>4.1777809790066414E-2</v>
      </c>
      <c r="E62" s="91">
        <f t="shared" si="7"/>
        <v>0.39778010776019285</v>
      </c>
    </row>
    <row r="63" spans="1:5" ht="16" customHeight="1">
      <c r="A63" s="92" t="s">
        <v>6</v>
      </c>
      <c r="B63" s="83">
        <f>E9</f>
        <v>0.30956721562619693</v>
      </c>
      <c r="C63" s="83">
        <f>M29</f>
        <v>4.6435082343929533E-2</v>
      </c>
      <c r="D63" s="88">
        <f>C47</f>
        <v>4.0578024479152534E-2</v>
      </c>
      <c r="E63" s="91">
        <f>B63+C63+D63</f>
        <v>0.39658032244927899</v>
      </c>
    </row>
    <row r="64" spans="1:5" ht="16" customHeight="1">
      <c r="A64" s="92" t="s">
        <v>7</v>
      </c>
      <c r="B64" s="83">
        <f>E10</f>
        <v>0.30956721562619693</v>
      </c>
      <c r="C64" s="83">
        <f>M30</f>
        <v>4.6435082343929533E-2</v>
      </c>
      <c r="D64" s="88">
        <f t="shared" si="6"/>
        <v>3.2159988382264505E-2</v>
      </c>
      <c r="E64" s="91">
        <f t="shared" si="7"/>
        <v>0.38816228635239097</v>
      </c>
    </row>
    <row r="65" spans="1:9" ht="16" customHeight="1">
      <c r="A65" s="92" t="s">
        <v>1</v>
      </c>
      <c r="B65" s="83">
        <f>E11</f>
        <v>0.30956721562619693</v>
      </c>
      <c r="C65" s="83">
        <f>M31</f>
        <v>4.6435082343929533E-2</v>
      </c>
      <c r="D65" s="88">
        <f t="shared" si="6"/>
        <v>3.384535806883715E-2</v>
      </c>
      <c r="E65" s="91">
        <f t="shared" si="7"/>
        <v>0.3898476560389636</v>
      </c>
    </row>
    <row r="66" spans="1:9" ht="16" customHeight="1">
      <c r="A66" s="73" t="s">
        <v>3</v>
      </c>
      <c r="B66" s="83">
        <f>E12</f>
        <v>0.30956721562619693</v>
      </c>
      <c r="C66" s="83">
        <f>M32</f>
        <v>4.6435082343929533E-2</v>
      </c>
      <c r="D66" s="88">
        <f t="shared" si="6"/>
        <v>3.7864625271657612E-2</v>
      </c>
      <c r="E66" s="91">
        <f t="shared" si="7"/>
        <v>0.39386692324178407</v>
      </c>
    </row>
    <row r="67" spans="1:9" ht="16" customHeight="1">
      <c r="A67" s="73" t="s">
        <v>8</v>
      </c>
      <c r="B67" s="83">
        <f>E13</f>
        <v>0.30956721562619693</v>
      </c>
      <c r="C67" s="83">
        <f>M33</f>
        <v>4.6435082343929533E-2</v>
      </c>
      <c r="D67" s="88">
        <f t="shared" si="6"/>
        <v>3.3404027123161345E-2</v>
      </c>
      <c r="E67" s="91">
        <f t="shared" si="7"/>
        <v>0.38940632509328776</v>
      </c>
    </row>
    <row r="68" spans="1:9" ht="16" customHeight="1">
      <c r="A68" s="73" t="s">
        <v>0</v>
      </c>
      <c r="B68" s="83">
        <f>E14</f>
        <v>0.30956721562619693</v>
      </c>
      <c r="C68" s="83">
        <f>M34</f>
        <v>4.6435082343929533E-2</v>
      </c>
      <c r="D68" s="88">
        <f t="shared" si="6"/>
        <v>3.5832034135667837E-2</v>
      </c>
      <c r="E68" s="91">
        <f t="shared" si="7"/>
        <v>0.39183433210579427</v>
      </c>
    </row>
    <row r="69" spans="1:9" ht="16" customHeight="1">
      <c r="A69" s="93"/>
      <c r="B69" s="93"/>
      <c r="C69" s="93"/>
      <c r="D69" s="93"/>
      <c r="E69" s="93"/>
      <c r="F69" s="94"/>
      <c r="G69" s="93"/>
      <c r="H69" s="93"/>
      <c r="I69" s="93"/>
    </row>
  </sheetData>
  <mergeCells count="28">
    <mergeCell ref="A55:C55"/>
    <mergeCell ref="B57:B58"/>
    <mergeCell ref="C57:C58"/>
    <mergeCell ref="D57:D58"/>
    <mergeCell ref="E57:E58"/>
    <mergeCell ref="A57:A58"/>
    <mergeCell ref="A41:A42"/>
    <mergeCell ref="B41:B42"/>
    <mergeCell ref="C41:C42"/>
    <mergeCell ref="B36:F36"/>
    <mergeCell ref="A39:C39"/>
    <mergeCell ref="M23:M24"/>
    <mergeCell ref="B16:F16"/>
    <mergeCell ref="B17:D17"/>
    <mergeCell ref="B18:D18"/>
    <mergeCell ref="A23:A24"/>
    <mergeCell ref="B23:B24"/>
    <mergeCell ref="D23:G23"/>
    <mergeCell ref="H23:K23"/>
    <mergeCell ref="C23:C24"/>
    <mergeCell ref="L23:L24"/>
    <mergeCell ref="A1:C1"/>
    <mergeCell ref="A21:C21"/>
    <mergeCell ref="E3:E4"/>
    <mergeCell ref="A3:A4"/>
    <mergeCell ref="B3:B4"/>
    <mergeCell ref="C3:C4"/>
    <mergeCell ref="D3:D4"/>
  </mergeCells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opLeftCell="F1" zoomScale="94" zoomScaleNormal="94" workbookViewId="0">
      <selection activeCell="A10" sqref="A10:XFD10"/>
    </sheetView>
  </sheetViews>
  <sheetFormatPr defaultColWidth="14.6328125" defaultRowHeight="16" customHeight="1"/>
  <cols>
    <col min="1" max="12" width="14.6328125" style="1"/>
    <col min="13" max="13" width="16" style="1" customWidth="1"/>
    <col min="14" max="17" width="14.6328125" style="1"/>
    <col min="18" max="18" width="18.453125" style="1" customWidth="1"/>
    <col min="19" max="16384" width="14.6328125" style="1"/>
  </cols>
  <sheetData>
    <row r="1" spans="1:18" ht="16" customHeight="1">
      <c r="A1" s="31" t="s">
        <v>1</v>
      </c>
    </row>
    <row r="2" spans="1:18" ht="16" customHeight="1">
      <c r="A2" s="2" t="s">
        <v>100</v>
      </c>
      <c r="B2" s="2"/>
      <c r="C2" s="2"/>
      <c r="H2" s="34"/>
      <c r="I2" s="34"/>
    </row>
    <row r="3" spans="1:18" ht="19" customHeight="1">
      <c r="A3" s="35"/>
      <c r="B3" s="35"/>
      <c r="C3" s="35"/>
      <c r="D3" s="35"/>
      <c r="E3" s="35"/>
      <c r="F3" s="35"/>
      <c r="G3" s="35"/>
      <c r="H3" s="35"/>
      <c r="I3" s="36"/>
      <c r="J3" s="35"/>
      <c r="K3" s="35"/>
      <c r="L3" s="35"/>
      <c r="M3" s="35"/>
      <c r="N3" s="35"/>
      <c r="O3" s="35"/>
      <c r="P3" s="35"/>
      <c r="Q3" s="35"/>
      <c r="R3" s="35"/>
    </row>
    <row r="4" spans="1:18" ht="45.5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82</v>
      </c>
      <c r="N4" s="27" t="s">
        <v>83</v>
      </c>
      <c r="O4" s="27" t="s">
        <v>130</v>
      </c>
      <c r="P4" s="27" t="s">
        <v>128</v>
      </c>
      <c r="Q4" s="27" t="s">
        <v>85</v>
      </c>
      <c r="R4" s="27" t="s">
        <v>122</v>
      </c>
    </row>
    <row r="5" spans="1:18" ht="16" customHeight="1">
      <c r="A5" s="6" t="s">
        <v>29</v>
      </c>
      <c r="B5" s="52">
        <v>11.727928509905256</v>
      </c>
      <c r="C5" s="52">
        <v>203.03460465116268</v>
      </c>
      <c r="D5" s="8">
        <v>36.857899930695766</v>
      </c>
      <c r="E5" s="8">
        <v>14.334415584415584</v>
      </c>
      <c r="F5" s="6">
        <v>0.9</v>
      </c>
      <c r="G5" s="9">
        <v>36.74</v>
      </c>
      <c r="H5" s="53">
        <f>D5*100/(3000*L5/1000)</f>
        <v>0.95240051500505862</v>
      </c>
      <c r="I5" s="6">
        <v>11</v>
      </c>
      <c r="J5" s="6">
        <v>0.85</v>
      </c>
      <c r="K5" s="6">
        <v>5000</v>
      </c>
      <c r="L5" s="6">
        <v>1290</v>
      </c>
      <c r="M5" s="6">
        <v>44.7</v>
      </c>
      <c r="N5" s="6">
        <f>'[1]Crop&amp;input data'!B12</f>
        <v>1.865</v>
      </c>
      <c r="O5" s="9">
        <f>M5*N5</f>
        <v>83.365500000000011</v>
      </c>
      <c r="P5" s="8">
        <f>((H5/100)*K5*L5)/I5*J5</f>
        <v>4746.8507486502131</v>
      </c>
      <c r="Q5" s="9">
        <f>(21.37+(C5/(E5*F5))*((0.0037*G5)+(0.0000601*P5)-(0.00362*O5)))</f>
        <v>23.249747917554295</v>
      </c>
      <c r="R5" s="11">
        <f>(44/28)*0.0075*(14/62)*Q5/N5</f>
        <v>3.3176583986823986E-2</v>
      </c>
    </row>
    <row r="6" spans="1:18" ht="16" customHeight="1">
      <c r="A6" s="6" t="s">
        <v>30</v>
      </c>
      <c r="B6" s="52">
        <v>9.4458302537570837</v>
      </c>
      <c r="C6" s="52">
        <v>284.54814634146328</v>
      </c>
      <c r="D6" s="8">
        <v>39.95684061504582</v>
      </c>
      <c r="E6" s="8">
        <v>15.847457627118644</v>
      </c>
      <c r="F6" s="6">
        <v>0.9</v>
      </c>
      <c r="G6" s="9">
        <f>$G5</f>
        <v>36.74</v>
      </c>
      <c r="H6" s="53">
        <f t="shared" ref="H6:H9" si="0">D6*100/(3000*L6/1000)</f>
        <v>1.0405427243501515</v>
      </c>
      <c r="I6" s="6">
        <v>11</v>
      </c>
      <c r="J6" s="6">
        <v>0.85</v>
      </c>
      <c r="K6" s="6">
        <v>5000</v>
      </c>
      <c r="L6" s="6">
        <v>1280</v>
      </c>
      <c r="M6" s="6">
        <v>44.7</v>
      </c>
      <c r="N6" s="9">
        <f>$N5</f>
        <v>1.865</v>
      </c>
      <c r="O6" s="9">
        <f>M6*N6</f>
        <v>83.365500000000011</v>
      </c>
      <c r="P6" s="8">
        <f t="shared" ref="P6:P9" si="1">((H6/100)*K6*L6)/I6*J6</f>
        <v>5145.9567458771116</v>
      </c>
      <c r="Q6" s="9">
        <f>(21.37+(C6/(E6*F6))*((0.0037*G6)+(0.0000601*P6)-(0.00362*O6)))</f>
        <v>24.231437305512131</v>
      </c>
      <c r="R6" s="11">
        <f t="shared" ref="R6:R7" si="2">(44/28)*0.0075*(14/62)*Q6/N6</f>
        <v>3.4577420698862757E-2</v>
      </c>
    </row>
    <row r="7" spans="1:18" ht="16" customHeight="1">
      <c r="A7" s="6" t="s">
        <v>31</v>
      </c>
      <c r="B7" s="52">
        <v>12.222273035230357</v>
      </c>
      <c r="C7" s="52">
        <v>355.99029268292674</v>
      </c>
      <c r="D7" s="8">
        <v>42.523540569376941</v>
      </c>
      <c r="E7" s="8">
        <v>15.760948905109489</v>
      </c>
      <c r="F7" s="6">
        <v>0.9</v>
      </c>
      <c r="G7" s="9">
        <f>$G6</f>
        <v>36.74</v>
      </c>
      <c r="H7" s="53">
        <f t="shared" si="0"/>
        <v>1.1431059292843262</v>
      </c>
      <c r="I7" s="6">
        <v>11</v>
      </c>
      <c r="J7" s="6">
        <v>0.85</v>
      </c>
      <c r="K7" s="6">
        <v>5000</v>
      </c>
      <c r="L7" s="6">
        <v>1240</v>
      </c>
      <c r="M7" s="6">
        <v>44.7</v>
      </c>
      <c r="N7" s="9">
        <f>$N6</f>
        <v>1.865</v>
      </c>
      <c r="O7" s="9">
        <f>M7*N7</f>
        <v>83.365500000000011</v>
      </c>
      <c r="P7" s="8">
        <f t="shared" si="1"/>
        <v>5476.5165884803628</v>
      </c>
      <c r="Q7" s="9">
        <f>(21.37+(C7/(E7*F7))*((0.0037*G7)+(0.0000601*P7)-(0.00362*O7)))</f>
        <v>25.468097446651537</v>
      </c>
      <c r="R7" s="11">
        <f t="shared" si="2"/>
        <v>3.6342091833412631E-2</v>
      </c>
    </row>
    <row r="8" spans="1:18" ht="16" customHeight="1">
      <c r="A8" s="6" t="s">
        <v>77</v>
      </c>
      <c r="B8" s="52">
        <v>12.53773849607183</v>
      </c>
      <c r="C8" s="52">
        <v>220.62378048780485</v>
      </c>
      <c r="D8" s="8">
        <v>38.289785910145518</v>
      </c>
      <c r="E8" s="8">
        <v>16.486363636363638</v>
      </c>
      <c r="F8" s="6">
        <v>0.9</v>
      </c>
      <c r="G8" s="9">
        <f>$G7</f>
        <v>36.74</v>
      </c>
      <c r="H8" s="53">
        <f t="shared" si="0"/>
        <v>0.99712984141003957</v>
      </c>
      <c r="I8" s="6">
        <v>11</v>
      </c>
      <c r="J8" s="6">
        <v>0.85</v>
      </c>
      <c r="K8" s="6">
        <v>5000</v>
      </c>
      <c r="L8" s="6">
        <v>1280</v>
      </c>
      <c r="M8" s="6">
        <v>44.7</v>
      </c>
      <c r="N8" s="9">
        <f>$N7</f>
        <v>1.865</v>
      </c>
      <c r="O8" s="9">
        <f>M8*N8</f>
        <v>83.365500000000011</v>
      </c>
      <c r="P8" s="8">
        <f t="shared" si="1"/>
        <v>4931.2603066096508</v>
      </c>
      <c r="Q8" s="9">
        <f>(21.37+(C8/(E8*F8))*((0.0037*G8)+(0.0000601*P8)-(0.00362*O8)))</f>
        <v>23.310770115331341</v>
      </c>
      <c r="R8" s="11">
        <f>(44/28)*0.0075*(14/62)*Q8/N8</f>
        <v>3.3263660546827556E-2</v>
      </c>
    </row>
    <row r="9" spans="1:18" ht="16" customHeight="1">
      <c r="A9" s="6" t="s">
        <v>78</v>
      </c>
      <c r="B9" s="52">
        <v>10.551366041366038</v>
      </c>
      <c r="C9" s="52">
        <v>253.22348571428583</v>
      </c>
      <c r="D9" s="8">
        <v>27.770961808523644</v>
      </c>
      <c r="E9" s="8">
        <v>14.361842105263158</v>
      </c>
      <c r="F9" s="6">
        <v>0.9</v>
      </c>
      <c r="G9" s="9">
        <f>$G8</f>
        <v>36.74</v>
      </c>
      <c r="H9" s="53">
        <f t="shared" si="0"/>
        <v>0.71207594380829853</v>
      </c>
      <c r="I9" s="6">
        <v>11</v>
      </c>
      <c r="J9" s="6">
        <v>0.85</v>
      </c>
      <c r="K9" s="6">
        <v>5000</v>
      </c>
      <c r="L9" s="6">
        <v>1300</v>
      </c>
      <c r="M9" s="6">
        <v>44.7</v>
      </c>
      <c r="N9" s="9">
        <f>$N8</f>
        <v>1.865</v>
      </c>
      <c r="O9" s="9">
        <f>M9*N9</f>
        <v>83.365500000000011</v>
      </c>
      <c r="P9" s="8">
        <f t="shared" si="1"/>
        <v>3576.563263218954</v>
      </c>
      <c r="Q9" s="9">
        <f>(21.37+(C9/(E9*F9))*((0.0037*G9)+(0.0000601*P9)-(0.00362*O9)))</f>
        <v>22.332030654333735</v>
      </c>
      <c r="R9" s="11">
        <f t="shared" ref="R9" si="3">(44/28)*0.0075*(14/62)*Q9/N9</f>
        <v>3.1867033278258808E-2</v>
      </c>
    </row>
    <row r="10" spans="1:18" ht="16" customHeight="1">
      <c r="D10" s="19"/>
      <c r="F10" s="19"/>
      <c r="P10" s="41" t="s">
        <v>59</v>
      </c>
      <c r="Q10" s="42">
        <f>AVERAGE(Q5:Q9)</f>
        <v>23.718416687876605</v>
      </c>
      <c r="R10" s="43">
        <f>AVERAGE(R5:R9)</f>
        <v>3.384535806883715E-2</v>
      </c>
    </row>
    <row r="12" spans="1:18" ht="16" customHeight="1">
      <c r="A12" s="21" t="s">
        <v>121</v>
      </c>
      <c r="B12" s="21"/>
      <c r="C12" s="21"/>
    </row>
    <row r="13" spans="1:18" ht="19" customHeight="1">
      <c r="A13" s="33"/>
      <c r="K13" s="40"/>
    </row>
    <row r="14" spans="1:18" ht="19" customHeight="1">
      <c r="A14" s="22" t="s">
        <v>101</v>
      </c>
      <c r="B14" s="35"/>
      <c r="C14" s="35"/>
      <c r="D14" s="35"/>
      <c r="E14" s="35"/>
      <c r="H14" s="35"/>
      <c r="I14" s="36"/>
      <c r="J14" s="35"/>
      <c r="K14" s="35"/>
      <c r="L14" s="35"/>
      <c r="M14" s="35"/>
      <c r="N14" s="35"/>
      <c r="O14" s="35"/>
      <c r="P14" s="35"/>
      <c r="Q14" s="35"/>
      <c r="R14" s="35"/>
    </row>
    <row r="15" spans="1:18" ht="45.5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82</v>
      </c>
      <c r="N15" s="27" t="s">
        <v>83</v>
      </c>
      <c r="O15" s="27" t="s">
        <v>130</v>
      </c>
      <c r="P15" s="27" t="s">
        <v>128</v>
      </c>
      <c r="Q15" s="27" t="s">
        <v>85</v>
      </c>
      <c r="R15" s="27" t="s">
        <v>122</v>
      </c>
    </row>
    <row r="16" spans="1:18" ht="16" customHeight="1">
      <c r="A16" s="6" t="s">
        <v>29</v>
      </c>
      <c r="B16" s="52">
        <v>11.727928509905256</v>
      </c>
      <c r="C16" s="52">
        <v>203.03460465116268</v>
      </c>
      <c r="D16" s="8">
        <v>36.857899930695766</v>
      </c>
      <c r="E16" s="8">
        <v>14.334415584415584</v>
      </c>
      <c r="F16" s="6">
        <v>0.9</v>
      </c>
      <c r="G16" s="9">
        <f>'Summary N2O from residue'!H10*1000</f>
        <v>31.960444444444445</v>
      </c>
      <c r="H16" s="53">
        <f>D16*100/(3000*L16/1000)</f>
        <v>0.95240051500505862</v>
      </c>
      <c r="I16" s="6">
        <v>11</v>
      </c>
      <c r="J16" s="6">
        <v>0.85</v>
      </c>
      <c r="K16" s="6">
        <v>5000</v>
      </c>
      <c r="L16" s="6">
        <v>1290</v>
      </c>
      <c r="M16" s="6">
        <v>44.7</v>
      </c>
      <c r="N16" s="9">
        <f>N5</f>
        <v>1.865</v>
      </c>
      <c r="O16" s="9">
        <f>M16*N16</f>
        <v>83.365500000000011</v>
      </c>
      <c r="P16" s="8">
        <f>((H16/100)*K16*L16)/I16*J16</f>
        <v>4746.8507486502131</v>
      </c>
      <c r="Q16" s="9">
        <f>(21.37+(C16/(E16*F16))*((0.0037*G16)+(0.0000601*P16)-(0.00362*O16)))</f>
        <v>22.971432797199519</v>
      </c>
      <c r="R16" s="11">
        <f>(44/28)*0.0075*(14/62)*Q16/N16</f>
        <v>3.2779437961929607E-2</v>
      </c>
    </row>
    <row r="17" spans="1:18" ht="16" customHeight="1">
      <c r="A17" s="6" t="s">
        <v>30</v>
      </c>
      <c r="B17" s="52">
        <v>9.4458302537570837</v>
      </c>
      <c r="C17" s="52">
        <v>284.54814634146328</v>
      </c>
      <c r="D17" s="8">
        <v>39.95684061504582</v>
      </c>
      <c r="E17" s="8">
        <v>15.847457627118644</v>
      </c>
      <c r="F17" s="6">
        <v>0.9</v>
      </c>
      <c r="G17" s="9">
        <f>$G16</f>
        <v>31.960444444444445</v>
      </c>
      <c r="H17" s="53">
        <f t="shared" ref="H17:H20" si="4">D17*100/(3000*L17/1000)</f>
        <v>1.0405427243501515</v>
      </c>
      <c r="I17" s="6">
        <v>11</v>
      </c>
      <c r="J17" s="6">
        <v>0.85</v>
      </c>
      <c r="K17" s="6">
        <v>5000</v>
      </c>
      <c r="L17" s="6">
        <v>1280</v>
      </c>
      <c r="M17" s="6">
        <v>44.7</v>
      </c>
      <c r="N17" s="9">
        <f>$N16</f>
        <v>1.865</v>
      </c>
      <c r="O17" s="9">
        <f>M17*N17</f>
        <v>83.365500000000011</v>
      </c>
      <c r="P17" s="8">
        <f t="shared" ref="P17:P20" si="5">((H17/100)*K17*L17)/I17*J17</f>
        <v>5145.9567458771116</v>
      </c>
      <c r="Q17" s="9">
        <f>(21.37+(C17/(E17*F17))*((0.0037*G17)+(0.0000601*P17)-(0.00362*O17)))</f>
        <v>23.878625677512101</v>
      </c>
      <c r="R17" s="11">
        <f t="shared" ref="R17:R18" si="6">(44/28)*0.0075*(14/62)*Q17/N17</f>
        <v>3.4073970741066301E-2</v>
      </c>
    </row>
    <row r="18" spans="1:18" ht="16" customHeight="1">
      <c r="A18" s="6" t="s">
        <v>31</v>
      </c>
      <c r="B18" s="52">
        <v>12.222273035230357</v>
      </c>
      <c r="C18" s="52">
        <v>355.99029268292674</v>
      </c>
      <c r="D18" s="8">
        <v>42.523540569376941</v>
      </c>
      <c r="E18" s="8">
        <v>15.760948905109489</v>
      </c>
      <c r="F18" s="6">
        <v>0.9</v>
      </c>
      <c r="G18" s="9">
        <f>$G17</f>
        <v>31.960444444444445</v>
      </c>
      <c r="H18" s="53">
        <f t="shared" si="4"/>
        <v>1.1431059292843262</v>
      </c>
      <c r="I18" s="6">
        <v>11</v>
      </c>
      <c r="J18" s="6">
        <v>0.85</v>
      </c>
      <c r="K18" s="6">
        <v>5000</v>
      </c>
      <c r="L18" s="6">
        <v>1240</v>
      </c>
      <c r="M18" s="6">
        <v>44.7</v>
      </c>
      <c r="N18" s="9">
        <f>$N17</f>
        <v>1.865</v>
      </c>
      <c r="O18" s="9">
        <f>M18*N18</f>
        <v>83.365500000000011</v>
      </c>
      <c r="P18" s="8">
        <f t="shared" si="5"/>
        <v>5476.5165884803628</v>
      </c>
      <c r="Q18" s="9">
        <f>(21.37+(C18/(E18*F18))*((0.0037*G18)+(0.0000601*P18)-(0.00362*O18)))</f>
        <v>25.024281887911766</v>
      </c>
      <c r="R18" s="11">
        <f t="shared" si="6"/>
        <v>3.5708782422428788E-2</v>
      </c>
    </row>
    <row r="19" spans="1:18" ht="16" customHeight="1">
      <c r="A19" s="6" t="s">
        <v>77</v>
      </c>
      <c r="B19" s="52">
        <v>12.53773849607183</v>
      </c>
      <c r="C19" s="52">
        <v>220.62378048780485</v>
      </c>
      <c r="D19" s="8">
        <v>38.289785910145518</v>
      </c>
      <c r="E19" s="8">
        <v>16.486363636363638</v>
      </c>
      <c r="F19" s="6">
        <v>0.9</v>
      </c>
      <c r="G19" s="9">
        <f>$G18</f>
        <v>31.960444444444445</v>
      </c>
      <c r="H19" s="53">
        <f t="shared" si="4"/>
        <v>0.99712984141003957</v>
      </c>
      <c r="I19" s="6">
        <v>11</v>
      </c>
      <c r="J19" s="6">
        <v>0.85</v>
      </c>
      <c r="K19" s="6">
        <v>5000</v>
      </c>
      <c r="L19" s="6">
        <v>1280</v>
      </c>
      <c r="M19" s="6">
        <v>44.7</v>
      </c>
      <c r="N19" s="9">
        <f>$N18</f>
        <v>1.865</v>
      </c>
      <c r="O19" s="9">
        <f>M19*N19</f>
        <v>83.365500000000011</v>
      </c>
      <c r="P19" s="8">
        <f t="shared" si="5"/>
        <v>4931.2603066096508</v>
      </c>
      <c r="Q19" s="9">
        <f>(21.37+(C19/(E19*F19))*((0.0037*G19)+(0.0000601*P19)-(0.00362*O19)))</f>
        <v>23.047819509322526</v>
      </c>
      <c r="R19" s="11">
        <f>(44/28)*0.0075*(14/62)*Q19/N19</f>
        <v>3.2888439151069926E-2</v>
      </c>
    </row>
    <row r="20" spans="1:18" ht="16" customHeight="1">
      <c r="A20" s="6" t="s">
        <v>78</v>
      </c>
      <c r="B20" s="52">
        <v>10.551366041366038</v>
      </c>
      <c r="C20" s="52">
        <v>253.22348571428583</v>
      </c>
      <c r="D20" s="8">
        <v>27.770961808523644</v>
      </c>
      <c r="E20" s="8">
        <v>14.361842105263158</v>
      </c>
      <c r="F20" s="6">
        <v>0.9</v>
      </c>
      <c r="G20" s="9">
        <f>$G19</f>
        <v>31.960444444444445</v>
      </c>
      <c r="H20" s="53">
        <f t="shared" si="4"/>
        <v>0.71207594380829853</v>
      </c>
      <c r="I20" s="6">
        <v>11</v>
      </c>
      <c r="J20" s="6">
        <v>0.85</v>
      </c>
      <c r="K20" s="6">
        <v>5000</v>
      </c>
      <c r="L20" s="6">
        <v>1300</v>
      </c>
      <c r="M20" s="6">
        <v>44.7</v>
      </c>
      <c r="N20" s="9">
        <f>$N19</f>
        <v>1.865</v>
      </c>
      <c r="O20" s="9">
        <f>M20*N20</f>
        <v>83.365500000000011</v>
      </c>
      <c r="P20" s="8">
        <f t="shared" si="5"/>
        <v>3576.563263218954</v>
      </c>
      <c r="Q20" s="9">
        <f>(21.37+(C20/(E20*F20))*((0.0037*G20)+(0.0000601*P20)-(0.00362*O20)))</f>
        <v>21.985580655977213</v>
      </c>
      <c r="R20" s="11">
        <f t="shared" ref="R20" si="7">(44/28)*0.0075*(14/62)*Q20/N20</f>
        <v>3.1372661145344975E-2</v>
      </c>
    </row>
    <row r="21" spans="1:18" ht="16" customHeight="1">
      <c r="D21" s="19"/>
      <c r="F21" s="19"/>
      <c r="P21" s="41" t="s">
        <v>59</v>
      </c>
      <c r="Q21" s="42">
        <f>AVERAGE(Q16:Q20)</f>
        <v>23.381548105584624</v>
      </c>
      <c r="R21" s="43">
        <f>AVERAGE(R16:R20)</f>
        <v>3.3364658284367923E-2</v>
      </c>
    </row>
    <row r="22" spans="1:18" ht="16" customHeight="1">
      <c r="K22" s="40"/>
    </row>
    <row r="23" spans="1:18" ht="19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45.5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82</v>
      </c>
      <c r="N24" s="27" t="s">
        <v>83</v>
      </c>
      <c r="O24" s="27" t="s">
        <v>130</v>
      </c>
      <c r="P24" s="27" t="s">
        <v>128</v>
      </c>
      <c r="Q24" s="27" t="s">
        <v>85</v>
      </c>
      <c r="R24" s="27" t="s">
        <v>122</v>
      </c>
    </row>
    <row r="25" spans="1:18" ht="16" customHeight="1">
      <c r="A25" s="6" t="s">
        <v>29</v>
      </c>
      <c r="B25" s="52">
        <v>11.727928509905256</v>
      </c>
      <c r="C25" s="52">
        <v>203.03460465116268</v>
      </c>
      <c r="D25" s="8">
        <v>36.857899930695766</v>
      </c>
      <c r="E25" s="8">
        <v>14.334415584415584</v>
      </c>
      <c r="F25" s="6">
        <v>0.9</v>
      </c>
      <c r="G25" s="9">
        <f>'Summary N2O from residue'!H11*1000</f>
        <v>42.164888888888889</v>
      </c>
      <c r="H25" s="53">
        <f>D25*100/(3000*L25/1000)</f>
        <v>0.95240051500505862</v>
      </c>
      <c r="I25" s="6">
        <v>11</v>
      </c>
      <c r="J25" s="6">
        <v>0.85</v>
      </c>
      <c r="K25" s="6">
        <v>5000</v>
      </c>
      <c r="L25" s="6">
        <v>1290</v>
      </c>
      <c r="M25" s="6">
        <v>44.7</v>
      </c>
      <c r="N25" s="9">
        <f>N16</f>
        <v>1.865</v>
      </c>
      <c r="O25" s="9">
        <f>M25*N25</f>
        <v>83.365500000000011</v>
      </c>
      <c r="P25" s="8">
        <f>((H25/100)*K25*L25)/I25*J25</f>
        <v>4746.8507486502131</v>
      </c>
      <c r="Q25" s="9">
        <f>(21.37+(C25/(E25*F25))*((0.0037*G25)+(0.0000601*P25)-(0.00362*O25)))</f>
        <v>23.56564101398822</v>
      </c>
      <c r="R25" s="11">
        <f>(44/28)*0.0075*(14/62)*Q25/N25</f>
        <v>3.3627352480394841E-2</v>
      </c>
    </row>
    <row r="26" spans="1:18" ht="16" customHeight="1">
      <c r="A26" s="6" t="s">
        <v>30</v>
      </c>
      <c r="B26" s="52">
        <v>9.4458302537570837</v>
      </c>
      <c r="C26" s="52">
        <v>284.54814634146328</v>
      </c>
      <c r="D26" s="8">
        <v>39.95684061504582</v>
      </c>
      <c r="E26" s="8">
        <v>15.847457627118644</v>
      </c>
      <c r="F26" s="6">
        <v>0.9</v>
      </c>
      <c r="G26" s="9">
        <f>$G25</f>
        <v>42.164888888888889</v>
      </c>
      <c r="H26" s="53">
        <f t="shared" ref="H26:H29" si="8">D26*100/(3000*L26/1000)</f>
        <v>1.0405427243501515</v>
      </c>
      <c r="I26" s="6">
        <v>11</v>
      </c>
      <c r="J26" s="6">
        <v>0.85</v>
      </c>
      <c r="K26" s="6">
        <v>5000</v>
      </c>
      <c r="L26" s="6">
        <v>1280</v>
      </c>
      <c r="M26" s="6">
        <v>44.7</v>
      </c>
      <c r="N26" s="9">
        <f>$N25</f>
        <v>1.865</v>
      </c>
      <c r="O26" s="9">
        <f>M26*N26</f>
        <v>83.365500000000011</v>
      </c>
      <c r="P26" s="8">
        <f t="shared" ref="P26:P29" si="9">((H26/100)*K26*L26)/I26*J26</f>
        <v>5145.9567458771116</v>
      </c>
      <c r="Q26" s="9">
        <f>(21.37+(C26/(E26*F26))*((0.0037*G26)+(0.0000601*P26)-(0.00362*O26)))</f>
        <v>24.631885392862731</v>
      </c>
      <c r="R26" s="11">
        <f t="shared" ref="R26:R27" si="10">(44/28)*0.0075*(14/62)*Q26/N26</f>
        <v>3.5148846232140013E-2</v>
      </c>
    </row>
    <row r="27" spans="1:18" ht="16" customHeight="1">
      <c r="A27" s="6" t="s">
        <v>31</v>
      </c>
      <c r="B27" s="52">
        <v>12.222273035230357</v>
      </c>
      <c r="C27" s="52">
        <v>355.99029268292674</v>
      </c>
      <c r="D27" s="8">
        <v>42.523540569376941</v>
      </c>
      <c r="E27" s="8">
        <v>15.760948905109489</v>
      </c>
      <c r="F27" s="6">
        <v>0.9</v>
      </c>
      <c r="G27" s="9">
        <f>$G26</f>
        <v>42.164888888888889</v>
      </c>
      <c r="H27" s="53">
        <f t="shared" si="8"/>
        <v>1.1431059292843262</v>
      </c>
      <c r="I27" s="6">
        <v>11</v>
      </c>
      <c r="J27" s="6">
        <v>0.85</v>
      </c>
      <c r="K27" s="6">
        <v>5000</v>
      </c>
      <c r="L27" s="6">
        <v>1240</v>
      </c>
      <c r="M27" s="6">
        <v>44.7</v>
      </c>
      <c r="N27" s="9">
        <f>$N26</f>
        <v>1.865</v>
      </c>
      <c r="O27" s="9">
        <f>M27*N27</f>
        <v>83.365500000000011</v>
      </c>
      <c r="P27" s="8">
        <f t="shared" si="9"/>
        <v>5476.5165884803628</v>
      </c>
      <c r="Q27" s="9">
        <f>(21.37+(C27/(E27*F27))*((0.0037*G27)+(0.0000601*P27)-(0.00362*O27)))</f>
        <v>25.971836772481709</v>
      </c>
      <c r="R27" s="11">
        <f t="shared" si="10"/>
        <v>3.7060910381903317E-2</v>
      </c>
    </row>
    <row r="28" spans="1:18" ht="16" customHeight="1">
      <c r="A28" s="6" t="s">
        <v>77</v>
      </c>
      <c r="B28" s="52">
        <v>12.53773849607183</v>
      </c>
      <c r="C28" s="52">
        <v>220.62378048780485</v>
      </c>
      <c r="D28" s="8">
        <v>38.289785910145518</v>
      </c>
      <c r="E28" s="8">
        <v>16.486363636363638</v>
      </c>
      <c r="F28" s="6">
        <v>0.9</v>
      </c>
      <c r="G28" s="9">
        <f>$G27</f>
        <v>42.164888888888889</v>
      </c>
      <c r="H28" s="53">
        <f t="shared" si="8"/>
        <v>0.99712984141003957</v>
      </c>
      <c r="I28" s="6">
        <v>11</v>
      </c>
      <c r="J28" s="6">
        <v>0.85</v>
      </c>
      <c r="K28" s="6">
        <v>5000</v>
      </c>
      <c r="L28" s="6">
        <v>1280</v>
      </c>
      <c r="M28" s="6">
        <v>44.7</v>
      </c>
      <c r="N28" s="9">
        <f>$N27</f>
        <v>1.865</v>
      </c>
      <c r="O28" s="9">
        <f>M28*N28</f>
        <v>83.365500000000011</v>
      </c>
      <c r="P28" s="8">
        <f t="shared" si="9"/>
        <v>4931.2603066096508</v>
      </c>
      <c r="Q28" s="9">
        <f>(21.37+(C28/(E28*F28))*((0.0037*G28)+(0.0000601*P28)-(0.00362*O28)))</f>
        <v>23.609224187950236</v>
      </c>
      <c r="R28" s="11">
        <f>(44/28)*0.0075*(14/62)*Q28/N28</f>
        <v>3.3689544158192405E-2</v>
      </c>
    </row>
    <row r="29" spans="1:18" ht="16" customHeight="1">
      <c r="A29" s="6" t="s">
        <v>78</v>
      </c>
      <c r="B29" s="52">
        <v>10.551366041366038</v>
      </c>
      <c r="C29" s="52">
        <v>253.22348571428583</v>
      </c>
      <c r="D29" s="8">
        <v>27.770961808523644</v>
      </c>
      <c r="E29" s="8">
        <v>14.361842105263158</v>
      </c>
      <c r="F29" s="6">
        <v>0.9</v>
      </c>
      <c r="G29" s="9">
        <f>$G28</f>
        <v>42.164888888888889</v>
      </c>
      <c r="H29" s="53">
        <f t="shared" si="8"/>
        <v>0.71207594380829853</v>
      </c>
      <c r="I29" s="6">
        <v>11</v>
      </c>
      <c r="J29" s="6">
        <v>0.85</v>
      </c>
      <c r="K29" s="6">
        <v>5000</v>
      </c>
      <c r="L29" s="6">
        <v>1300</v>
      </c>
      <c r="M29" s="6">
        <v>44.7</v>
      </c>
      <c r="N29" s="9">
        <f>$N28</f>
        <v>1.865</v>
      </c>
      <c r="O29" s="9">
        <f>M29*N29</f>
        <v>83.365500000000011</v>
      </c>
      <c r="P29" s="8">
        <f t="shared" si="9"/>
        <v>3576.563263218954</v>
      </c>
      <c r="Q29" s="9">
        <f>(21.37+(C29/(E29*F29))*((0.0037*G29)+(0.0000601*P29)-(0.00362*O29)))</f>
        <v>22.725258167811486</v>
      </c>
      <c r="R29" s="11">
        <f t="shared" ref="R29" si="11">(44/28)*0.0075*(14/62)*Q29/N29</f>
        <v>3.2428155303025986E-2</v>
      </c>
    </row>
    <row r="30" spans="1:18" ht="16" customHeight="1">
      <c r="D30" s="19"/>
      <c r="F30" s="19"/>
      <c r="P30" s="41" t="s">
        <v>59</v>
      </c>
      <c r="Q30" s="42">
        <f>AVERAGE(Q25:Q29)</f>
        <v>24.100769107018877</v>
      </c>
      <c r="R30" s="43">
        <f>AVERAGE(R25:R29)</f>
        <v>3.4390961711131311E-2</v>
      </c>
    </row>
    <row r="32" spans="1:18" ht="19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45.5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82</v>
      </c>
      <c r="N33" s="27" t="s">
        <v>83</v>
      </c>
      <c r="O33" s="27" t="s">
        <v>130</v>
      </c>
      <c r="P33" s="27" t="s">
        <v>128</v>
      </c>
      <c r="Q33" s="27" t="s">
        <v>85</v>
      </c>
      <c r="R33" s="27" t="s">
        <v>122</v>
      </c>
    </row>
    <row r="34" spans="1:18" ht="16" customHeight="1">
      <c r="A34" s="6" t="s">
        <v>29</v>
      </c>
      <c r="B34" s="52">
        <v>11.727928509905256</v>
      </c>
      <c r="C34" s="52">
        <v>203.03460465116268</v>
      </c>
      <c r="D34" s="8">
        <v>36.857899930695766</v>
      </c>
      <c r="E34" s="8">
        <v>14.334415584415584</v>
      </c>
      <c r="F34" s="6">
        <v>0.9</v>
      </c>
      <c r="G34" s="9">
        <f>'Summary N2O from residue'!H12*1000</f>
        <v>52.369333333333337</v>
      </c>
      <c r="H34" s="53">
        <f>D34*100/(3000*L34/1000)</f>
        <v>0.95240051500505862</v>
      </c>
      <c r="I34" s="6">
        <v>11</v>
      </c>
      <c r="J34" s="6">
        <v>0.85</v>
      </c>
      <c r="K34" s="6">
        <v>5000</v>
      </c>
      <c r="L34" s="6">
        <v>1290</v>
      </c>
      <c r="M34" s="6">
        <v>44.7</v>
      </c>
      <c r="N34" s="9">
        <f>N25</f>
        <v>1.865</v>
      </c>
      <c r="O34" s="9">
        <f>M34*N34</f>
        <v>83.365500000000011</v>
      </c>
      <c r="P34" s="8">
        <f>((H34/100)*K34*L34)/I34*J34</f>
        <v>4746.8507486502131</v>
      </c>
      <c r="Q34" s="9">
        <f>(21.37+(C34/(E34*F34))*((0.0037*G34)+(0.0000601*P34)-(0.00362*O34)))</f>
        <v>24.159849230776921</v>
      </c>
      <c r="R34" s="11">
        <f>(44/28)*0.0075*(14/62)*Q34/N34</f>
        <v>3.4475266998860082E-2</v>
      </c>
    </row>
    <row r="35" spans="1:18" ht="16" customHeight="1">
      <c r="A35" s="6" t="s">
        <v>30</v>
      </c>
      <c r="B35" s="52">
        <v>9.4458302537570837</v>
      </c>
      <c r="C35" s="52">
        <v>284.54814634146328</v>
      </c>
      <c r="D35" s="8">
        <v>39.95684061504582</v>
      </c>
      <c r="E35" s="8">
        <v>15.847457627118644</v>
      </c>
      <c r="F35" s="6">
        <v>0.9</v>
      </c>
      <c r="G35" s="9">
        <f>$G34</f>
        <v>52.369333333333337</v>
      </c>
      <c r="H35" s="53">
        <f t="shared" ref="H35:H38" si="12">D35*100/(3000*L35/1000)</f>
        <v>1.0405427243501515</v>
      </c>
      <c r="I35" s="6">
        <v>11</v>
      </c>
      <c r="J35" s="6">
        <v>0.85</v>
      </c>
      <c r="K35" s="6">
        <v>5000</v>
      </c>
      <c r="L35" s="6">
        <v>1280</v>
      </c>
      <c r="M35" s="6">
        <v>44.7</v>
      </c>
      <c r="N35" s="9">
        <f>$N34</f>
        <v>1.865</v>
      </c>
      <c r="O35" s="9">
        <f>M35*N35</f>
        <v>83.365500000000011</v>
      </c>
      <c r="P35" s="8">
        <f t="shared" ref="P35:P38" si="13">((H35/100)*K35*L35)/I35*J35</f>
        <v>5145.9567458771116</v>
      </c>
      <c r="Q35" s="9">
        <f>(21.37+(C35/(E35*F35))*((0.0037*G35)+(0.0000601*P35)-(0.00362*O35)))</f>
        <v>25.385145108213361</v>
      </c>
      <c r="R35" s="11">
        <f t="shared" ref="R35:R36" si="14">(44/28)*0.0075*(14/62)*Q35/N35</f>
        <v>3.6223721723213732E-2</v>
      </c>
    </row>
    <row r="36" spans="1:18" ht="16" customHeight="1">
      <c r="A36" s="6" t="s">
        <v>31</v>
      </c>
      <c r="B36" s="52">
        <v>12.222273035230357</v>
      </c>
      <c r="C36" s="52">
        <v>355.99029268292674</v>
      </c>
      <c r="D36" s="8">
        <v>42.523540569376941</v>
      </c>
      <c r="E36" s="8">
        <v>15.760948905109489</v>
      </c>
      <c r="F36" s="6">
        <v>0.9</v>
      </c>
      <c r="G36" s="9">
        <f>$G35</f>
        <v>52.369333333333337</v>
      </c>
      <c r="H36" s="53">
        <f t="shared" si="12"/>
        <v>1.1431059292843262</v>
      </c>
      <c r="I36" s="6">
        <v>11</v>
      </c>
      <c r="J36" s="6">
        <v>0.85</v>
      </c>
      <c r="K36" s="6">
        <v>5000</v>
      </c>
      <c r="L36" s="6">
        <v>1240</v>
      </c>
      <c r="M36" s="6">
        <v>44.7</v>
      </c>
      <c r="N36" s="9">
        <f>$N35</f>
        <v>1.865</v>
      </c>
      <c r="O36" s="9">
        <f>M36*N36</f>
        <v>83.365500000000011</v>
      </c>
      <c r="P36" s="8">
        <f t="shared" si="13"/>
        <v>5476.5165884803628</v>
      </c>
      <c r="Q36" s="9">
        <f>(21.37+(C36/(E36*F36))*((0.0037*G36)+(0.0000601*P36)-(0.00362*O36)))</f>
        <v>26.919391657051655</v>
      </c>
      <c r="R36" s="11">
        <f t="shared" si="14"/>
        <v>3.8413038341377867E-2</v>
      </c>
    </row>
    <row r="37" spans="1:18" ht="16" customHeight="1">
      <c r="A37" s="6" t="s">
        <v>77</v>
      </c>
      <c r="B37" s="52">
        <v>12.53773849607183</v>
      </c>
      <c r="C37" s="52">
        <v>220.62378048780485</v>
      </c>
      <c r="D37" s="8">
        <v>38.289785910145518</v>
      </c>
      <c r="E37" s="8">
        <v>16.486363636363638</v>
      </c>
      <c r="F37" s="6">
        <v>0.9</v>
      </c>
      <c r="G37" s="9">
        <f>$G36</f>
        <v>52.369333333333337</v>
      </c>
      <c r="H37" s="53">
        <f t="shared" si="12"/>
        <v>0.99712984141003957</v>
      </c>
      <c r="I37" s="6">
        <v>11</v>
      </c>
      <c r="J37" s="6">
        <v>0.85</v>
      </c>
      <c r="K37" s="6">
        <v>5000</v>
      </c>
      <c r="L37" s="6">
        <v>1280</v>
      </c>
      <c r="M37" s="6">
        <v>44.7</v>
      </c>
      <c r="N37" s="9">
        <f>$N36</f>
        <v>1.865</v>
      </c>
      <c r="O37" s="9">
        <f>M37*N37</f>
        <v>83.365500000000011</v>
      </c>
      <c r="P37" s="8">
        <f t="shared" si="13"/>
        <v>4931.2603066096508</v>
      </c>
      <c r="Q37" s="9">
        <f>(21.37+(C37/(E37*F37))*((0.0037*G37)+(0.0000601*P37)-(0.00362*O37)))</f>
        <v>24.17062886657795</v>
      </c>
      <c r="R37" s="11">
        <f>(44/28)*0.0075*(14/62)*Q37/N37</f>
        <v>3.4490649165314892E-2</v>
      </c>
    </row>
    <row r="38" spans="1:18" ht="16" customHeight="1">
      <c r="A38" s="6" t="s">
        <v>78</v>
      </c>
      <c r="B38" s="52">
        <v>10.551366041366038</v>
      </c>
      <c r="C38" s="52">
        <v>253.22348571428583</v>
      </c>
      <c r="D38" s="8">
        <v>27.770961808523644</v>
      </c>
      <c r="E38" s="8">
        <v>14.361842105263158</v>
      </c>
      <c r="F38" s="6">
        <v>0.9</v>
      </c>
      <c r="G38" s="9">
        <f>$G37</f>
        <v>52.369333333333337</v>
      </c>
      <c r="H38" s="53">
        <f t="shared" si="12"/>
        <v>0.71207594380829853</v>
      </c>
      <c r="I38" s="6">
        <v>11</v>
      </c>
      <c r="J38" s="6">
        <v>0.85</v>
      </c>
      <c r="K38" s="6">
        <v>5000</v>
      </c>
      <c r="L38" s="6">
        <v>1300</v>
      </c>
      <c r="M38" s="6">
        <v>44.7</v>
      </c>
      <c r="N38" s="9">
        <f>$N37</f>
        <v>1.865</v>
      </c>
      <c r="O38" s="9">
        <f>M38*N38</f>
        <v>83.365500000000011</v>
      </c>
      <c r="P38" s="8">
        <f t="shared" si="13"/>
        <v>3576.563263218954</v>
      </c>
      <c r="Q38" s="9">
        <f>(21.37+(C38/(E38*F38))*((0.0037*G38)+(0.0000601*P38)-(0.00362*O38)))</f>
        <v>23.464935679645762</v>
      </c>
      <c r="R38" s="11">
        <f t="shared" ref="R38" si="15">(44/28)*0.0075*(14/62)*Q38/N38</f>
        <v>3.3483649460706998E-2</v>
      </c>
    </row>
    <row r="39" spans="1:18" ht="16" customHeight="1">
      <c r="D39" s="19"/>
      <c r="F39" s="19"/>
      <c r="P39" s="41" t="s">
        <v>59</v>
      </c>
      <c r="Q39" s="42">
        <f>AVERAGE(Q34:Q38)</f>
        <v>24.819990108453126</v>
      </c>
      <c r="R39" s="43">
        <f>AVERAGE(R34:R38)</f>
        <v>3.5417265137894713E-2</v>
      </c>
    </row>
    <row r="41" spans="1:18" ht="19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18" ht="45.5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82</v>
      </c>
      <c r="N42" s="27" t="s">
        <v>83</v>
      </c>
      <c r="O42" s="27" t="s">
        <v>130</v>
      </c>
      <c r="P42" s="27" t="s">
        <v>128</v>
      </c>
      <c r="Q42" s="27" t="s">
        <v>85</v>
      </c>
      <c r="R42" s="27" t="s">
        <v>122</v>
      </c>
    </row>
    <row r="43" spans="1:18" ht="16" customHeight="1">
      <c r="A43" s="6" t="s">
        <v>29</v>
      </c>
      <c r="B43" s="52">
        <v>11.727928509905256</v>
      </c>
      <c r="C43" s="52">
        <v>203.03460465116268</v>
      </c>
      <c r="D43" s="8">
        <v>36.857899930695766</v>
      </c>
      <c r="E43" s="8">
        <v>14.334415584415584</v>
      </c>
      <c r="F43" s="6">
        <v>0.9</v>
      </c>
      <c r="G43" s="9">
        <f>'Summary N2O from residue'!H13*1000</f>
        <v>53.716444444444434</v>
      </c>
      <c r="H43" s="53">
        <f>D43*100/(3000*L43/1000)</f>
        <v>0.95240051500505862</v>
      </c>
      <c r="I43" s="6">
        <v>11</v>
      </c>
      <c r="J43" s="6">
        <v>0.85</v>
      </c>
      <c r="K43" s="6">
        <v>5000</v>
      </c>
      <c r="L43" s="6">
        <v>1290</v>
      </c>
      <c r="M43" s="6">
        <v>44.7</v>
      </c>
      <c r="N43" s="9">
        <f>N34</f>
        <v>1.865</v>
      </c>
      <c r="O43" s="9">
        <f>M43*N43</f>
        <v>83.365500000000011</v>
      </c>
      <c r="P43" s="8">
        <f>((H43/100)*K43*L43)/I43*J43</f>
        <v>4746.8507486502131</v>
      </c>
      <c r="Q43" s="9">
        <f>(21.37+(C43/(E43*F43))*((0.0037*G43)+(0.0000601*P43)-(0.00362*O43)))</f>
        <v>24.238291961834697</v>
      </c>
      <c r="R43" s="11">
        <f>(44/28)*0.0075*(14/62)*Q43/N43</f>
        <v>3.4587202055718448E-2</v>
      </c>
    </row>
    <row r="44" spans="1:18" ht="16" customHeight="1">
      <c r="A44" s="6" t="s">
        <v>30</v>
      </c>
      <c r="B44" s="52">
        <v>9.4458302537570837</v>
      </c>
      <c r="C44" s="52">
        <v>284.54814634146328</v>
      </c>
      <c r="D44" s="8">
        <v>39.95684061504582</v>
      </c>
      <c r="E44" s="8">
        <v>15.847457627118644</v>
      </c>
      <c r="F44" s="6">
        <v>0.9</v>
      </c>
      <c r="G44" s="9">
        <f>$G43</f>
        <v>53.716444444444434</v>
      </c>
      <c r="H44" s="53">
        <f t="shared" ref="H44:H47" si="16">D44*100/(3000*L44/1000)</f>
        <v>1.0405427243501515</v>
      </c>
      <c r="I44" s="6">
        <v>11</v>
      </c>
      <c r="J44" s="6">
        <v>0.85</v>
      </c>
      <c r="K44" s="6">
        <v>5000</v>
      </c>
      <c r="L44" s="6">
        <v>1280</v>
      </c>
      <c r="M44" s="6">
        <v>44.7</v>
      </c>
      <c r="N44" s="9">
        <f>$N43</f>
        <v>1.865</v>
      </c>
      <c r="O44" s="9">
        <f>M44*N44</f>
        <v>83.365500000000011</v>
      </c>
      <c r="P44" s="8">
        <f t="shared" ref="P44:P47" si="17">((H44/100)*K44*L44)/I44*J44</f>
        <v>5145.9567458771116</v>
      </c>
      <c r="Q44" s="9">
        <f>(21.37+(C44/(E44*F44))*((0.0037*G44)+(0.0000601*P44)-(0.00362*O44)))</f>
        <v>25.484584576733734</v>
      </c>
      <c r="R44" s="11">
        <f t="shared" ref="R44:R45" si="18">(44/28)*0.0075*(14/62)*Q44/N44</f>
        <v>3.6365618396273156E-2</v>
      </c>
    </row>
    <row r="45" spans="1:18" ht="16" customHeight="1">
      <c r="A45" s="6" t="s">
        <v>31</v>
      </c>
      <c r="B45" s="52">
        <v>12.222273035230357</v>
      </c>
      <c r="C45" s="52">
        <v>355.99029268292674</v>
      </c>
      <c r="D45" s="8">
        <v>42.523540569376941</v>
      </c>
      <c r="E45" s="8">
        <v>15.760948905109489</v>
      </c>
      <c r="F45" s="6">
        <v>0.9</v>
      </c>
      <c r="G45" s="9">
        <f>$G44</f>
        <v>53.716444444444434</v>
      </c>
      <c r="H45" s="53">
        <f t="shared" si="16"/>
        <v>1.1431059292843262</v>
      </c>
      <c r="I45" s="6">
        <v>11</v>
      </c>
      <c r="J45" s="6">
        <v>0.85</v>
      </c>
      <c r="K45" s="6">
        <v>5000</v>
      </c>
      <c r="L45" s="6">
        <v>1240</v>
      </c>
      <c r="M45" s="6">
        <v>44.7</v>
      </c>
      <c r="N45" s="9">
        <f>$N44</f>
        <v>1.865</v>
      </c>
      <c r="O45" s="9">
        <f>M45*N45</f>
        <v>83.365500000000011</v>
      </c>
      <c r="P45" s="8">
        <f t="shared" si="17"/>
        <v>5476.5165884803628</v>
      </c>
      <c r="Q45" s="9">
        <f>(21.37+(C45/(E45*F45))*((0.0037*G45)+(0.0000601*P45)-(0.00362*O45)))</f>
        <v>27.044480457362258</v>
      </c>
      <c r="R45" s="11">
        <f t="shared" si="18"/>
        <v>3.8591535721393858E-2</v>
      </c>
    </row>
    <row r="46" spans="1:18" ht="16" customHeight="1">
      <c r="A46" s="6" t="s">
        <v>77</v>
      </c>
      <c r="B46" s="52">
        <v>12.53773849607183</v>
      </c>
      <c r="C46" s="52">
        <v>220.62378048780485</v>
      </c>
      <c r="D46" s="8">
        <v>38.289785910145518</v>
      </c>
      <c r="E46" s="8">
        <v>16.486363636363638</v>
      </c>
      <c r="F46" s="6">
        <v>0.9</v>
      </c>
      <c r="G46" s="9">
        <f>$G45</f>
        <v>53.716444444444434</v>
      </c>
      <c r="H46" s="53">
        <f t="shared" si="16"/>
        <v>0.99712984141003957</v>
      </c>
      <c r="I46" s="6">
        <v>11</v>
      </c>
      <c r="J46" s="6">
        <v>0.85</v>
      </c>
      <c r="K46" s="6">
        <v>5000</v>
      </c>
      <c r="L46" s="6">
        <v>1280</v>
      </c>
      <c r="M46" s="6">
        <v>44.7</v>
      </c>
      <c r="N46" s="9">
        <f>$N45</f>
        <v>1.865</v>
      </c>
      <c r="O46" s="9">
        <f>M46*N46</f>
        <v>83.365500000000011</v>
      </c>
      <c r="P46" s="8">
        <f t="shared" si="17"/>
        <v>4931.2603066096508</v>
      </c>
      <c r="Q46" s="9">
        <f>(21.37+(C46/(E46*F46))*((0.0037*G46)+(0.0000601*P46)-(0.00362*O46)))</f>
        <v>24.244741130555326</v>
      </c>
      <c r="R46" s="11">
        <f>(44/28)*0.0075*(14/62)*Q46/N46</f>
        <v>3.4596404795828317E-2</v>
      </c>
    </row>
    <row r="47" spans="1:18" ht="16" customHeight="1">
      <c r="A47" s="6" t="s">
        <v>78</v>
      </c>
      <c r="B47" s="52">
        <v>10.551366041366038</v>
      </c>
      <c r="C47" s="52">
        <v>253.22348571428583</v>
      </c>
      <c r="D47" s="8">
        <v>27.770961808523644</v>
      </c>
      <c r="E47" s="8">
        <v>14.361842105263158</v>
      </c>
      <c r="F47" s="6">
        <v>0.9</v>
      </c>
      <c r="G47" s="9">
        <f>$G46</f>
        <v>53.716444444444434</v>
      </c>
      <c r="H47" s="53">
        <f t="shared" si="16"/>
        <v>0.71207594380829853</v>
      </c>
      <c r="I47" s="6">
        <v>11</v>
      </c>
      <c r="J47" s="6">
        <v>0.85</v>
      </c>
      <c r="K47" s="6">
        <v>5000</v>
      </c>
      <c r="L47" s="6">
        <v>1300</v>
      </c>
      <c r="M47" s="6">
        <v>44.7</v>
      </c>
      <c r="N47" s="9">
        <f>$N46</f>
        <v>1.865</v>
      </c>
      <c r="O47" s="9">
        <f>M47*N47</f>
        <v>83.365500000000011</v>
      </c>
      <c r="P47" s="8">
        <f t="shared" si="17"/>
        <v>3576.563263218954</v>
      </c>
      <c r="Q47" s="9">
        <f>(21.37+(C47/(E47*F47))*((0.0037*G47)+(0.0000601*P47)-(0.00362*O47)))</f>
        <v>23.562582131665348</v>
      </c>
      <c r="R47" s="11">
        <f t="shared" ref="R47" si="19">(44/28)*0.0075*(14/62)*Q47/N47</f>
        <v>3.3622987561400863E-2</v>
      </c>
    </row>
    <row r="48" spans="1:18" ht="16" customHeight="1">
      <c r="D48" s="19"/>
      <c r="F48" s="19"/>
      <c r="P48" s="41" t="s">
        <v>59</v>
      </c>
      <c r="Q48" s="42">
        <f>AVERAGE(Q43:Q47)</f>
        <v>24.914936051630271</v>
      </c>
      <c r="R48" s="43">
        <f>AVERAGE(R43:R47)</f>
        <v>3.5552749706122933E-2</v>
      </c>
    </row>
    <row r="50" spans="1:18" ht="16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45.5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82</v>
      </c>
      <c r="N51" s="27" t="s">
        <v>83</v>
      </c>
      <c r="O51" s="27" t="s">
        <v>130</v>
      </c>
      <c r="P51" s="27" t="s">
        <v>128</v>
      </c>
      <c r="Q51" s="27" t="s">
        <v>85</v>
      </c>
      <c r="R51" s="27" t="s">
        <v>122</v>
      </c>
    </row>
    <row r="52" spans="1:18" ht="16" customHeight="1">
      <c r="A52" s="6" t="s">
        <v>29</v>
      </c>
      <c r="B52" s="52">
        <v>11.727928509905256</v>
      </c>
      <c r="C52" s="52">
        <v>203.03460465116268</v>
      </c>
      <c r="D52" s="8">
        <v>36.857899930695766</v>
      </c>
      <c r="E52" s="8">
        <v>14.334415584415584</v>
      </c>
      <c r="F52" s="6">
        <v>0.9</v>
      </c>
      <c r="G52" s="9">
        <f>'Summary N2O from residue'!H14*1000</f>
        <v>63.920888888888889</v>
      </c>
      <c r="H52" s="53">
        <f>D52*100/(3000*L52/1000)</f>
        <v>0.95240051500505862</v>
      </c>
      <c r="I52" s="6">
        <v>11</v>
      </c>
      <c r="J52" s="6">
        <v>0.85</v>
      </c>
      <c r="K52" s="6">
        <v>5000</v>
      </c>
      <c r="L52" s="6">
        <v>1290</v>
      </c>
      <c r="M52" s="6">
        <v>44.7</v>
      </c>
      <c r="N52" s="9">
        <f>N43</f>
        <v>1.865</v>
      </c>
      <c r="O52" s="9">
        <f>M52*N52</f>
        <v>83.365500000000011</v>
      </c>
      <c r="P52" s="8">
        <f>((H52/100)*K52*L52)/I52*J52</f>
        <v>4746.8507486502131</v>
      </c>
      <c r="Q52" s="9">
        <f>(21.37+(C52/(E52*F52))*((0.0037*G52)+(0.0000601*P52)-(0.00362*O52)))</f>
        <v>24.832500178623395</v>
      </c>
      <c r="R52" s="11">
        <f>(44/28)*0.0075*(14/62)*Q52/N52</f>
        <v>3.5435116574183682E-2</v>
      </c>
    </row>
    <row r="53" spans="1:18" ht="16" customHeight="1">
      <c r="A53" s="6" t="s">
        <v>30</v>
      </c>
      <c r="B53" s="52">
        <v>9.4458302537570837</v>
      </c>
      <c r="C53" s="52">
        <v>284.54814634146328</v>
      </c>
      <c r="D53" s="8">
        <v>39.95684061504582</v>
      </c>
      <c r="E53" s="8">
        <v>15.847457627118644</v>
      </c>
      <c r="F53" s="6">
        <v>0.9</v>
      </c>
      <c r="G53" s="9">
        <f>$G52</f>
        <v>63.920888888888889</v>
      </c>
      <c r="H53" s="53">
        <f t="shared" ref="H53:H56" si="20">D53*100/(3000*L53/1000)</f>
        <v>1.0405427243501515</v>
      </c>
      <c r="I53" s="6">
        <v>11</v>
      </c>
      <c r="J53" s="6">
        <v>0.85</v>
      </c>
      <c r="K53" s="6">
        <v>5000</v>
      </c>
      <c r="L53" s="6">
        <v>1280</v>
      </c>
      <c r="M53" s="6">
        <v>44.7</v>
      </c>
      <c r="N53" s="9">
        <f>$N52</f>
        <v>1.865</v>
      </c>
      <c r="O53" s="9">
        <f>M53*N53</f>
        <v>83.365500000000011</v>
      </c>
      <c r="P53" s="8">
        <f t="shared" ref="P53:P56" si="21">((H53/100)*K53*L53)/I53*J53</f>
        <v>5145.9567458771116</v>
      </c>
      <c r="Q53" s="9">
        <f>(21.37+(C53/(E53*F53))*((0.0037*G53)+(0.0000601*P53)-(0.00362*O53)))</f>
        <v>26.237844292084365</v>
      </c>
      <c r="R53" s="11">
        <f t="shared" ref="R53:R54" si="22">(44/28)*0.0075*(14/62)*Q53/N53</f>
        <v>3.7440493887346875E-2</v>
      </c>
    </row>
    <row r="54" spans="1:18" ht="16" customHeight="1">
      <c r="A54" s="6" t="s">
        <v>31</v>
      </c>
      <c r="B54" s="52">
        <v>12.222273035230357</v>
      </c>
      <c r="C54" s="52">
        <v>355.99029268292674</v>
      </c>
      <c r="D54" s="8">
        <v>42.523540569376941</v>
      </c>
      <c r="E54" s="8">
        <v>15.760948905109489</v>
      </c>
      <c r="F54" s="6">
        <v>0.9</v>
      </c>
      <c r="G54" s="9">
        <f>$G53</f>
        <v>63.920888888888889</v>
      </c>
      <c r="H54" s="53">
        <f t="shared" si="20"/>
        <v>1.1431059292843262</v>
      </c>
      <c r="I54" s="6">
        <v>11</v>
      </c>
      <c r="J54" s="6">
        <v>0.85</v>
      </c>
      <c r="K54" s="6">
        <v>5000</v>
      </c>
      <c r="L54" s="6">
        <v>1240</v>
      </c>
      <c r="M54" s="6">
        <v>44.7</v>
      </c>
      <c r="N54" s="9">
        <f>$N53</f>
        <v>1.865</v>
      </c>
      <c r="O54" s="9">
        <f>M54*N54</f>
        <v>83.365500000000011</v>
      </c>
      <c r="P54" s="8">
        <f t="shared" si="21"/>
        <v>5476.5165884803628</v>
      </c>
      <c r="Q54" s="9">
        <f>(21.37+(C54/(E54*F54))*((0.0037*G54)+(0.0000601*P54)-(0.00362*O54)))</f>
        <v>27.992035341932205</v>
      </c>
      <c r="R54" s="11">
        <f t="shared" si="22"/>
        <v>3.9943663680868401E-2</v>
      </c>
    </row>
    <row r="55" spans="1:18" ht="16" customHeight="1">
      <c r="A55" s="6" t="s">
        <v>77</v>
      </c>
      <c r="B55" s="52">
        <v>12.53773849607183</v>
      </c>
      <c r="C55" s="52">
        <v>220.62378048780485</v>
      </c>
      <c r="D55" s="8">
        <v>38.289785910145518</v>
      </c>
      <c r="E55" s="8">
        <v>16.486363636363638</v>
      </c>
      <c r="F55" s="6">
        <v>0.9</v>
      </c>
      <c r="G55" s="9">
        <f>$G54</f>
        <v>63.920888888888889</v>
      </c>
      <c r="H55" s="53">
        <f t="shared" si="20"/>
        <v>0.99712984141003957</v>
      </c>
      <c r="I55" s="6">
        <v>11</v>
      </c>
      <c r="J55" s="6">
        <v>0.85</v>
      </c>
      <c r="K55" s="6">
        <v>5000</v>
      </c>
      <c r="L55" s="6">
        <v>1280</v>
      </c>
      <c r="M55" s="6">
        <v>44.7</v>
      </c>
      <c r="N55" s="9">
        <f>$N54</f>
        <v>1.865</v>
      </c>
      <c r="O55" s="9">
        <f>M55*N55</f>
        <v>83.365500000000011</v>
      </c>
      <c r="P55" s="8">
        <f t="shared" si="21"/>
        <v>4931.2603066096508</v>
      </c>
      <c r="Q55" s="9">
        <f>(21.37+(C55/(E55*F55))*((0.0037*G55)+(0.0000601*P55)-(0.00362*O55)))</f>
        <v>24.806145809183043</v>
      </c>
      <c r="R55" s="11">
        <f>(44/28)*0.0075*(14/62)*Q55/N55</f>
        <v>3.5397509802950797E-2</v>
      </c>
    </row>
    <row r="56" spans="1:18" ht="16" customHeight="1">
      <c r="A56" s="6" t="s">
        <v>78</v>
      </c>
      <c r="B56" s="52">
        <v>10.551366041366038</v>
      </c>
      <c r="C56" s="52">
        <v>253.22348571428583</v>
      </c>
      <c r="D56" s="8">
        <v>27.770961808523644</v>
      </c>
      <c r="E56" s="8">
        <v>14.361842105263158</v>
      </c>
      <c r="F56" s="6">
        <v>0.9</v>
      </c>
      <c r="G56" s="9">
        <f>$G55</f>
        <v>63.920888888888889</v>
      </c>
      <c r="H56" s="53">
        <f t="shared" si="20"/>
        <v>0.71207594380829853</v>
      </c>
      <c r="I56" s="6">
        <v>11</v>
      </c>
      <c r="J56" s="6">
        <v>0.85</v>
      </c>
      <c r="K56" s="6">
        <v>5000</v>
      </c>
      <c r="L56" s="6">
        <v>1300</v>
      </c>
      <c r="M56" s="6">
        <v>44.7</v>
      </c>
      <c r="N56" s="9">
        <f>$N55</f>
        <v>1.865</v>
      </c>
      <c r="O56" s="9">
        <f>M56*N56</f>
        <v>83.365500000000011</v>
      </c>
      <c r="P56" s="8">
        <f t="shared" si="21"/>
        <v>3576.563263218954</v>
      </c>
      <c r="Q56" s="9">
        <f>(21.37+(C56/(E56*F56))*((0.0037*G56)+(0.0000601*P56)-(0.00362*O56)))</f>
        <v>24.302259643499625</v>
      </c>
      <c r="R56" s="11">
        <f t="shared" ref="R56" si="23">(44/28)*0.0075*(14/62)*Q56/N56</f>
        <v>3.4678481719081881E-2</v>
      </c>
    </row>
    <row r="57" spans="1:18" ht="16" customHeight="1">
      <c r="D57" s="19"/>
      <c r="F57" s="19"/>
      <c r="P57" s="41" t="s">
        <v>59</v>
      </c>
      <c r="Q57" s="42">
        <f>AVERAGE(Q52:Q56)</f>
        <v>25.634157053064531</v>
      </c>
      <c r="R57" s="43">
        <f>AVERAGE(R52:R56)</f>
        <v>3.6579053132886327E-2</v>
      </c>
    </row>
    <row r="59" spans="1:18" ht="16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45.5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82</v>
      </c>
      <c r="N60" s="27" t="s">
        <v>83</v>
      </c>
      <c r="O60" s="27" t="s">
        <v>130</v>
      </c>
      <c r="P60" s="27" t="s">
        <v>128</v>
      </c>
      <c r="Q60" s="27" t="s">
        <v>85</v>
      </c>
      <c r="R60" s="27" t="s">
        <v>122</v>
      </c>
    </row>
    <row r="61" spans="1:18" ht="16" customHeight="1">
      <c r="A61" s="6" t="s">
        <v>29</v>
      </c>
      <c r="B61" s="52">
        <v>11.727928509905256</v>
      </c>
      <c r="C61" s="52">
        <v>203.03460465116268</v>
      </c>
      <c r="D61" s="8">
        <v>36.857899930695766</v>
      </c>
      <c r="E61" s="8">
        <v>14.334415584415584</v>
      </c>
      <c r="F61" s="6">
        <v>0.9</v>
      </c>
      <c r="G61" s="9">
        <f>'Summary N2O from residue'!H15*1000</f>
        <v>74.12533333333333</v>
      </c>
      <c r="H61" s="53">
        <f>D61*100/(3000*L61/1000)</f>
        <v>0.95240051500505862</v>
      </c>
      <c r="I61" s="6">
        <v>11</v>
      </c>
      <c r="J61" s="6">
        <v>0.85</v>
      </c>
      <c r="K61" s="6">
        <v>5000</v>
      </c>
      <c r="L61" s="6">
        <v>1290</v>
      </c>
      <c r="M61" s="6">
        <v>44.7</v>
      </c>
      <c r="N61" s="9">
        <f>N52</f>
        <v>1.865</v>
      </c>
      <c r="O61" s="9">
        <f>M61*N61</f>
        <v>83.365500000000011</v>
      </c>
      <c r="P61" s="8">
        <f>((H61/100)*K61*L61)/I61*J61</f>
        <v>4746.8507486502131</v>
      </c>
      <c r="Q61" s="9">
        <f>(21.37+(C61/(E61*F61))*((0.0037*G61)+(0.0000601*P61)-(0.00362*O61)))</f>
        <v>25.426708395412096</v>
      </c>
      <c r="R61" s="11">
        <f>(44/28)*0.0075*(14/62)*Q61/N61</f>
        <v>3.6283031092648924E-2</v>
      </c>
    </row>
    <row r="62" spans="1:18" ht="16" customHeight="1">
      <c r="A62" s="6" t="s">
        <v>30</v>
      </c>
      <c r="B62" s="52">
        <v>9.4458302537570837</v>
      </c>
      <c r="C62" s="52">
        <v>284.54814634146328</v>
      </c>
      <c r="D62" s="8">
        <v>39.95684061504582</v>
      </c>
      <c r="E62" s="8">
        <v>15.847457627118644</v>
      </c>
      <c r="F62" s="6">
        <v>0.9</v>
      </c>
      <c r="G62" s="9">
        <f>$G61</f>
        <v>74.12533333333333</v>
      </c>
      <c r="H62" s="53">
        <f t="shared" ref="H62:H65" si="24">D62*100/(3000*L62/1000)</f>
        <v>1.0405427243501515</v>
      </c>
      <c r="I62" s="6">
        <v>11</v>
      </c>
      <c r="J62" s="6">
        <v>0.85</v>
      </c>
      <c r="K62" s="6">
        <v>5000</v>
      </c>
      <c r="L62" s="6">
        <v>1280</v>
      </c>
      <c r="M62" s="6">
        <v>44.7</v>
      </c>
      <c r="N62" s="9">
        <f>$N61</f>
        <v>1.865</v>
      </c>
      <c r="O62" s="9">
        <f>M62*N62</f>
        <v>83.365500000000011</v>
      </c>
      <c r="P62" s="8">
        <f t="shared" ref="P62:P65" si="25">((H62/100)*K62*L62)/I62*J62</f>
        <v>5145.9567458771116</v>
      </c>
      <c r="Q62" s="9">
        <f>(21.37+(C62/(E62*F62))*((0.0037*G62)+(0.0000601*P62)-(0.00362*O62)))</f>
        <v>26.991104007434995</v>
      </c>
      <c r="R62" s="11">
        <f t="shared" ref="R62:R63" si="26">(44/28)*0.0075*(14/62)*Q62/N62</f>
        <v>3.8515369378420594E-2</v>
      </c>
    </row>
    <row r="63" spans="1:18" ht="16" customHeight="1">
      <c r="A63" s="6" t="s">
        <v>31</v>
      </c>
      <c r="B63" s="52">
        <v>12.222273035230357</v>
      </c>
      <c r="C63" s="52">
        <v>355.99029268292674</v>
      </c>
      <c r="D63" s="8">
        <v>42.523540569376941</v>
      </c>
      <c r="E63" s="8">
        <v>15.760948905109489</v>
      </c>
      <c r="F63" s="6">
        <v>0.9</v>
      </c>
      <c r="G63" s="9">
        <f>$G62</f>
        <v>74.12533333333333</v>
      </c>
      <c r="H63" s="53">
        <f t="shared" si="24"/>
        <v>1.1431059292843262</v>
      </c>
      <c r="I63" s="6">
        <v>11</v>
      </c>
      <c r="J63" s="6">
        <v>0.85</v>
      </c>
      <c r="K63" s="6">
        <v>5000</v>
      </c>
      <c r="L63" s="6">
        <v>1240</v>
      </c>
      <c r="M63" s="6">
        <v>44.7</v>
      </c>
      <c r="N63" s="9">
        <f>$N62</f>
        <v>1.865</v>
      </c>
      <c r="O63" s="9">
        <f>M63*N63</f>
        <v>83.365500000000011</v>
      </c>
      <c r="P63" s="8">
        <f t="shared" si="25"/>
        <v>5476.5165884803628</v>
      </c>
      <c r="Q63" s="9">
        <f>(21.37+(C63/(E63*F63))*((0.0037*G63)+(0.0000601*P63)-(0.00362*O63)))</f>
        <v>28.939590226502151</v>
      </c>
      <c r="R63" s="11">
        <f t="shared" si="26"/>
        <v>4.1295791640342937E-2</v>
      </c>
    </row>
    <row r="64" spans="1:18" ht="16" customHeight="1">
      <c r="A64" s="6" t="s">
        <v>77</v>
      </c>
      <c r="B64" s="52">
        <v>12.53773849607183</v>
      </c>
      <c r="C64" s="52">
        <v>220.62378048780485</v>
      </c>
      <c r="D64" s="8">
        <v>38.289785910145518</v>
      </c>
      <c r="E64" s="8">
        <v>16.486363636363638</v>
      </c>
      <c r="F64" s="6">
        <v>0.9</v>
      </c>
      <c r="G64" s="9">
        <f>$G63</f>
        <v>74.12533333333333</v>
      </c>
      <c r="H64" s="53">
        <f t="shared" si="24"/>
        <v>0.99712984141003957</v>
      </c>
      <c r="I64" s="6">
        <v>11</v>
      </c>
      <c r="J64" s="6">
        <v>0.85</v>
      </c>
      <c r="K64" s="6">
        <v>5000</v>
      </c>
      <c r="L64" s="6">
        <v>1280</v>
      </c>
      <c r="M64" s="6">
        <v>44.7</v>
      </c>
      <c r="N64" s="9">
        <f>$N63</f>
        <v>1.865</v>
      </c>
      <c r="O64" s="9">
        <f>M64*N64</f>
        <v>83.365500000000011</v>
      </c>
      <c r="P64" s="8">
        <f t="shared" si="25"/>
        <v>4931.2603066096508</v>
      </c>
      <c r="Q64" s="9">
        <f>(21.37+(C64/(E64*F64))*((0.0037*G64)+(0.0000601*P64)-(0.00362*O64)))</f>
        <v>25.367550487810757</v>
      </c>
      <c r="R64" s="11">
        <f>(44/28)*0.0075*(14/62)*Q64/N64</f>
        <v>3.6198614810073283E-2</v>
      </c>
    </row>
    <row r="65" spans="1:18" ht="16" customHeight="1">
      <c r="A65" s="6" t="s">
        <v>78</v>
      </c>
      <c r="B65" s="52">
        <v>10.551366041366038</v>
      </c>
      <c r="C65" s="52">
        <v>253.22348571428583</v>
      </c>
      <c r="D65" s="8">
        <v>27.770961808523644</v>
      </c>
      <c r="E65" s="8">
        <v>14.361842105263158</v>
      </c>
      <c r="F65" s="6">
        <v>0.9</v>
      </c>
      <c r="G65" s="9">
        <f>$G64</f>
        <v>74.12533333333333</v>
      </c>
      <c r="H65" s="53">
        <f t="shared" si="24"/>
        <v>0.71207594380829853</v>
      </c>
      <c r="I65" s="6">
        <v>11</v>
      </c>
      <c r="J65" s="6">
        <v>0.85</v>
      </c>
      <c r="K65" s="6">
        <v>5000</v>
      </c>
      <c r="L65" s="6">
        <v>1300</v>
      </c>
      <c r="M65" s="6">
        <v>44.7</v>
      </c>
      <c r="N65" s="9">
        <f>$N64</f>
        <v>1.865</v>
      </c>
      <c r="O65" s="9">
        <f>M65*N65</f>
        <v>83.365500000000011</v>
      </c>
      <c r="P65" s="8">
        <f t="shared" si="25"/>
        <v>3576.563263218954</v>
      </c>
      <c r="Q65" s="9">
        <f>(21.37+(C65/(E65*F65))*((0.0037*G65)+(0.0000601*P65)-(0.00362*O65)))</f>
        <v>25.041937155333898</v>
      </c>
      <c r="R65" s="11">
        <f t="shared" ref="R65" si="27">(44/28)*0.0075*(14/62)*Q65/N65</f>
        <v>3.5733975876762886E-2</v>
      </c>
    </row>
    <row r="66" spans="1:18" ht="16" customHeight="1">
      <c r="D66" s="19"/>
      <c r="F66" s="19"/>
      <c r="P66" s="41" t="s">
        <v>59</v>
      </c>
      <c r="Q66" s="42">
        <f>AVERAGE(Q61:Q65)</f>
        <v>26.35337805449878</v>
      </c>
      <c r="R66" s="43">
        <f>AVERAGE(R61:R65)</f>
        <v>3.7605356559649722E-2</v>
      </c>
    </row>
    <row r="68" spans="1:18" ht="16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8" ht="45.5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82</v>
      </c>
      <c r="N69" s="27" t="s">
        <v>83</v>
      </c>
      <c r="O69" s="27" t="s">
        <v>130</v>
      </c>
      <c r="P69" s="27" t="s">
        <v>128</v>
      </c>
      <c r="Q69" s="27" t="s">
        <v>85</v>
      </c>
      <c r="R69" s="27" t="s">
        <v>122</v>
      </c>
    </row>
    <row r="70" spans="1:18" ht="16" customHeight="1">
      <c r="A70" s="6" t="s">
        <v>29</v>
      </c>
      <c r="B70" s="52">
        <v>11.727928509905256</v>
      </c>
      <c r="C70" s="52">
        <v>203.03460465116268</v>
      </c>
      <c r="D70" s="8">
        <v>36.857899930695766</v>
      </c>
      <c r="E70" s="8">
        <v>14.334415584415584</v>
      </c>
      <c r="F70" s="6">
        <v>0.9</v>
      </c>
      <c r="G70" s="9">
        <f>'Summary N2O from residue'!H16*1000</f>
        <v>75.47244444444442</v>
      </c>
      <c r="H70" s="53">
        <f>D70*100/(3000*L70/1000)</f>
        <v>0.95240051500505862</v>
      </c>
      <c r="I70" s="6">
        <v>11</v>
      </c>
      <c r="J70" s="6">
        <v>0.85</v>
      </c>
      <c r="K70" s="6">
        <v>5000</v>
      </c>
      <c r="L70" s="6">
        <v>1290</v>
      </c>
      <c r="M70" s="6">
        <v>44.7</v>
      </c>
      <c r="N70" s="9">
        <f>N61</f>
        <v>1.865</v>
      </c>
      <c r="O70" s="9">
        <f>M70*N70</f>
        <v>83.365500000000011</v>
      </c>
      <c r="P70" s="8">
        <f>((H70/100)*K70*L70)/I70*J70</f>
        <v>4746.8507486502131</v>
      </c>
      <c r="Q70" s="9">
        <f>(21.37+(C70/(E70*F70))*((0.0037*G70)+(0.0000601*P70)-(0.00362*O70)))</f>
        <v>25.505151126469869</v>
      </c>
      <c r="R70" s="11">
        <f>(44/28)*0.0075*(14/62)*Q70/N70</f>
        <v>3.6394966149507289E-2</v>
      </c>
    </row>
    <row r="71" spans="1:18" ht="16" customHeight="1">
      <c r="A71" s="6" t="s">
        <v>30</v>
      </c>
      <c r="B71" s="52">
        <v>9.4458302537570837</v>
      </c>
      <c r="C71" s="52">
        <v>284.54814634146328</v>
      </c>
      <c r="D71" s="8">
        <v>39.95684061504582</v>
      </c>
      <c r="E71" s="8">
        <v>15.847457627118644</v>
      </c>
      <c r="F71" s="6">
        <v>0.9</v>
      </c>
      <c r="G71" s="9">
        <f>$G70</f>
        <v>75.47244444444442</v>
      </c>
      <c r="H71" s="53">
        <f t="shared" ref="H71:H74" si="28">D71*100/(3000*L71/1000)</f>
        <v>1.0405427243501515</v>
      </c>
      <c r="I71" s="6">
        <v>11</v>
      </c>
      <c r="J71" s="6">
        <v>0.85</v>
      </c>
      <c r="K71" s="6">
        <v>5000</v>
      </c>
      <c r="L71" s="6">
        <v>1280</v>
      </c>
      <c r="M71" s="6">
        <v>44.7</v>
      </c>
      <c r="N71" s="9">
        <f>$N70</f>
        <v>1.865</v>
      </c>
      <c r="O71" s="9">
        <f>M71*N71</f>
        <v>83.365500000000011</v>
      </c>
      <c r="P71" s="8">
        <f t="shared" ref="P71:P74" si="29">((H71/100)*K71*L71)/I71*J71</f>
        <v>5145.9567458771116</v>
      </c>
      <c r="Q71" s="9">
        <f>(21.37+(C71/(E71*F71))*((0.0037*G71)+(0.0000601*P71)-(0.00362*O71)))</f>
        <v>27.090543475955364</v>
      </c>
      <c r="R71" s="11">
        <f t="shared" ref="R71:R72" si="30">(44/28)*0.0075*(14/62)*Q71/N71</f>
        <v>3.8657266051480017E-2</v>
      </c>
    </row>
    <row r="72" spans="1:18" ht="16" customHeight="1">
      <c r="A72" s="6" t="s">
        <v>31</v>
      </c>
      <c r="B72" s="52">
        <v>12.222273035230357</v>
      </c>
      <c r="C72" s="52">
        <v>355.99029268292674</v>
      </c>
      <c r="D72" s="8">
        <v>42.523540569376941</v>
      </c>
      <c r="E72" s="8">
        <v>15.760948905109489</v>
      </c>
      <c r="F72" s="6">
        <v>0.9</v>
      </c>
      <c r="G72" s="9">
        <f>$G71</f>
        <v>75.47244444444442</v>
      </c>
      <c r="H72" s="53">
        <f t="shared" si="28"/>
        <v>1.1431059292843262</v>
      </c>
      <c r="I72" s="6">
        <v>11</v>
      </c>
      <c r="J72" s="6">
        <v>0.85</v>
      </c>
      <c r="K72" s="6">
        <v>5000</v>
      </c>
      <c r="L72" s="6">
        <v>1240</v>
      </c>
      <c r="M72" s="6">
        <v>44.7</v>
      </c>
      <c r="N72" s="9">
        <f>$N71</f>
        <v>1.865</v>
      </c>
      <c r="O72" s="9">
        <f>M72*N72</f>
        <v>83.365500000000011</v>
      </c>
      <c r="P72" s="8">
        <f t="shared" si="29"/>
        <v>5476.5165884803628</v>
      </c>
      <c r="Q72" s="9">
        <f>(21.37+(C72/(E72*F72))*((0.0037*G72)+(0.0000601*P72)-(0.00362*O72)))</f>
        <v>29.064679026812751</v>
      </c>
      <c r="R72" s="11">
        <f t="shared" si="30"/>
        <v>4.1474289020358934E-2</v>
      </c>
    </row>
    <row r="73" spans="1:18" ht="16" customHeight="1">
      <c r="A73" s="6" t="s">
        <v>77</v>
      </c>
      <c r="B73" s="52">
        <v>12.53773849607183</v>
      </c>
      <c r="C73" s="52">
        <v>220.62378048780485</v>
      </c>
      <c r="D73" s="8">
        <v>38.289785910145518</v>
      </c>
      <c r="E73" s="8">
        <v>16.486363636363638</v>
      </c>
      <c r="F73" s="6">
        <v>0.9</v>
      </c>
      <c r="G73" s="9">
        <f>$G72</f>
        <v>75.47244444444442</v>
      </c>
      <c r="H73" s="53">
        <f t="shared" si="28"/>
        <v>0.99712984141003957</v>
      </c>
      <c r="I73" s="6">
        <v>11</v>
      </c>
      <c r="J73" s="6">
        <v>0.85</v>
      </c>
      <c r="K73" s="6">
        <v>5000</v>
      </c>
      <c r="L73" s="6">
        <v>1280</v>
      </c>
      <c r="M73" s="6">
        <v>44.7</v>
      </c>
      <c r="N73" s="9">
        <f>$N72</f>
        <v>1.865</v>
      </c>
      <c r="O73" s="9">
        <f>M73*N73</f>
        <v>83.365500000000011</v>
      </c>
      <c r="P73" s="8">
        <f t="shared" si="29"/>
        <v>4931.2603066096508</v>
      </c>
      <c r="Q73" s="9">
        <f>(21.37+(C73/(E73*F73))*((0.0037*G73)+(0.0000601*P73)-(0.00362*O73)))</f>
        <v>25.44166275178813</v>
      </c>
      <c r="R73" s="11">
        <f>(44/28)*0.0075*(14/62)*Q73/N73</f>
        <v>3.6304370440586702E-2</v>
      </c>
    </row>
    <row r="74" spans="1:18" ht="16" customHeight="1">
      <c r="A74" s="6" t="s">
        <v>78</v>
      </c>
      <c r="B74" s="52">
        <v>10.551366041366038</v>
      </c>
      <c r="C74" s="52">
        <v>253.22348571428583</v>
      </c>
      <c r="D74" s="8">
        <v>27.770961808523644</v>
      </c>
      <c r="E74" s="8">
        <v>14.361842105263158</v>
      </c>
      <c r="F74" s="6">
        <v>0.9</v>
      </c>
      <c r="G74" s="9">
        <f>$G73</f>
        <v>75.47244444444442</v>
      </c>
      <c r="H74" s="53">
        <f t="shared" si="28"/>
        <v>0.71207594380829853</v>
      </c>
      <c r="I74" s="6">
        <v>11</v>
      </c>
      <c r="J74" s="6">
        <v>0.85</v>
      </c>
      <c r="K74" s="6">
        <v>5000</v>
      </c>
      <c r="L74" s="6">
        <v>1300</v>
      </c>
      <c r="M74" s="6">
        <v>44.7</v>
      </c>
      <c r="N74" s="9">
        <f>$N73</f>
        <v>1.865</v>
      </c>
      <c r="O74" s="9">
        <f>M74*N74</f>
        <v>83.365500000000011</v>
      </c>
      <c r="P74" s="8">
        <f t="shared" si="29"/>
        <v>3576.563263218954</v>
      </c>
      <c r="Q74" s="9">
        <f>(21.37+(C74/(E74*F74))*((0.0037*G74)+(0.0000601*P74)-(0.00362*O74)))</f>
        <v>25.139583607353483</v>
      </c>
      <c r="R74" s="11">
        <f t="shared" ref="R74" si="31">(44/28)*0.0075*(14/62)*Q74/N74</f>
        <v>3.5873313977456751E-2</v>
      </c>
    </row>
    <row r="75" spans="1:18" ht="16" customHeight="1">
      <c r="D75" s="19"/>
      <c r="F75" s="19"/>
      <c r="P75" s="41" t="s">
        <v>59</v>
      </c>
      <c r="Q75" s="42">
        <f>AVERAGE(Q70:Q74)</f>
        <v>26.448323997675921</v>
      </c>
      <c r="R75" s="43">
        <f>AVERAGE(R70:R74)</f>
        <v>3.7740841127877942E-2</v>
      </c>
    </row>
    <row r="77" spans="1:18" ht="16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8" ht="45.5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82</v>
      </c>
      <c r="N78" s="27" t="s">
        <v>83</v>
      </c>
      <c r="O78" s="27" t="s">
        <v>130</v>
      </c>
      <c r="P78" s="27" t="s">
        <v>128</v>
      </c>
      <c r="Q78" s="27" t="s">
        <v>85</v>
      </c>
      <c r="R78" s="27" t="s">
        <v>122</v>
      </c>
    </row>
    <row r="79" spans="1:18" ht="16" customHeight="1">
      <c r="A79" s="6" t="s">
        <v>29</v>
      </c>
      <c r="B79" s="52">
        <v>11.727928509905256</v>
      </c>
      <c r="C79" s="52">
        <v>203.03460465116268</v>
      </c>
      <c r="D79" s="8">
        <v>36.857899930695766</v>
      </c>
      <c r="E79" s="8">
        <v>14.334415584415584</v>
      </c>
      <c r="F79" s="6">
        <v>0.9</v>
      </c>
      <c r="G79" s="9">
        <f>'Summary N2O from residue'!H17*1000</f>
        <v>85.676888888888868</v>
      </c>
      <c r="H79" s="53">
        <f>D79*100/(3000*L79/1000)</f>
        <v>0.95240051500505862</v>
      </c>
      <c r="I79" s="6">
        <v>11</v>
      </c>
      <c r="J79" s="6">
        <v>0.85</v>
      </c>
      <c r="K79" s="6">
        <v>5000</v>
      </c>
      <c r="L79" s="6">
        <v>1290</v>
      </c>
      <c r="M79" s="6">
        <v>44.7</v>
      </c>
      <c r="N79" s="9">
        <f>N70</f>
        <v>1.865</v>
      </c>
      <c r="O79" s="9">
        <f>M79*N79</f>
        <v>83.365500000000011</v>
      </c>
      <c r="P79" s="8">
        <f>((H79/100)*K79*L79)/I79*J79</f>
        <v>4746.8507486502131</v>
      </c>
      <c r="Q79" s="9">
        <f>(21.37+(C79/(E79*F79))*((0.0037*G79)+(0.0000601*P79)-(0.00362*O79)))</f>
        <v>26.09935934325857</v>
      </c>
      <c r="R79" s="11">
        <f>(44/28)*0.0075*(14/62)*Q79/N79</f>
        <v>3.7242880667972524E-2</v>
      </c>
    </row>
    <row r="80" spans="1:18" ht="16" customHeight="1">
      <c r="A80" s="6" t="s">
        <v>30</v>
      </c>
      <c r="B80" s="52">
        <v>9.4458302537570837</v>
      </c>
      <c r="C80" s="52">
        <v>284.54814634146328</v>
      </c>
      <c r="D80" s="8">
        <v>39.95684061504582</v>
      </c>
      <c r="E80" s="8">
        <v>15.847457627118644</v>
      </c>
      <c r="F80" s="6">
        <v>0.9</v>
      </c>
      <c r="G80" s="9">
        <f>$G79</f>
        <v>85.676888888888868</v>
      </c>
      <c r="H80" s="53">
        <f t="shared" ref="H80:H83" si="32">D80*100/(3000*L80/1000)</f>
        <v>1.0405427243501515</v>
      </c>
      <c r="I80" s="6">
        <v>11</v>
      </c>
      <c r="J80" s="6">
        <v>0.85</v>
      </c>
      <c r="K80" s="6">
        <v>5000</v>
      </c>
      <c r="L80" s="6">
        <v>1280</v>
      </c>
      <c r="M80" s="6">
        <v>44.7</v>
      </c>
      <c r="N80" s="9">
        <f>$N79</f>
        <v>1.865</v>
      </c>
      <c r="O80" s="9">
        <f>M80*N80</f>
        <v>83.365500000000011</v>
      </c>
      <c r="P80" s="8">
        <f t="shared" ref="P80:P83" si="33">((H80/100)*K80*L80)/I80*J80</f>
        <v>5145.9567458771116</v>
      </c>
      <c r="Q80" s="9">
        <f>(21.37+(C80/(E80*F80))*((0.0037*G80)+(0.0000601*P80)-(0.00362*O80)))</f>
        <v>27.843803191305994</v>
      </c>
      <c r="R80" s="11">
        <f t="shared" ref="R80:R81" si="34">(44/28)*0.0075*(14/62)*Q80/N80</f>
        <v>3.9732141542553737E-2</v>
      </c>
    </row>
    <row r="81" spans="1:18" ht="16" customHeight="1">
      <c r="A81" s="6" t="s">
        <v>31</v>
      </c>
      <c r="B81" s="52">
        <v>12.222273035230357</v>
      </c>
      <c r="C81" s="52">
        <v>355.99029268292674</v>
      </c>
      <c r="D81" s="8">
        <v>42.523540569376941</v>
      </c>
      <c r="E81" s="8">
        <v>15.760948905109489</v>
      </c>
      <c r="F81" s="6">
        <v>0.9</v>
      </c>
      <c r="G81" s="9">
        <f>$G80</f>
        <v>85.676888888888868</v>
      </c>
      <c r="H81" s="53">
        <f t="shared" si="32"/>
        <v>1.1431059292843262</v>
      </c>
      <c r="I81" s="6">
        <v>11</v>
      </c>
      <c r="J81" s="6">
        <v>0.85</v>
      </c>
      <c r="K81" s="6">
        <v>5000</v>
      </c>
      <c r="L81" s="6">
        <v>1240</v>
      </c>
      <c r="M81" s="6">
        <v>44.7</v>
      </c>
      <c r="N81" s="9">
        <f>$N80</f>
        <v>1.865</v>
      </c>
      <c r="O81" s="9">
        <f>M81*N81</f>
        <v>83.365500000000011</v>
      </c>
      <c r="P81" s="8">
        <f t="shared" si="33"/>
        <v>5476.5165884803628</v>
      </c>
      <c r="Q81" s="9">
        <f>(21.37+(C81/(E81*F81))*((0.0037*G81)+(0.0000601*P81)-(0.00362*O81)))</f>
        <v>30.012233911382697</v>
      </c>
      <c r="R81" s="11">
        <f t="shared" si="34"/>
        <v>4.282641697983347E-2</v>
      </c>
    </row>
    <row r="82" spans="1:18" ht="16" customHeight="1">
      <c r="A82" s="6" t="s">
        <v>77</v>
      </c>
      <c r="B82" s="52">
        <v>12.53773849607183</v>
      </c>
      <c r="C82" s="52">
        <v>220.62378048780485</v>
      </c>
      <c r="D82" s="8">
        <v>38.289785910145518</v>
      </c>
      <c r="E82" s="8">
        <v>16.486363636363638</v>
      </c>
      <c r="F82" s="6">
        <v>0.9</v>
      </c>
      <c r="G82" s="9">
        <f>$G81</f>
        <v>85.676888888888868</v>
      </c>
      <c r="H82" s="53">
        <f t="shared" si="32"/>
        <v>0.99712984141003957</v>
      </c>
      <c r="I82" s="6">
        <v>11</v>
      </c>
      <c r="J82" s="6">
        <v>0.85</v>
      </c>
      <c r="K82" s="6">
        <v>5000</v>
      </c>
      <c r="L82" s="6">
        <v>1280</v>
      </c>
      <c r="M82" s="6">
        <v>44.7</v>
      </c>
      <c r="N82" s="9">
        <f>$N81</f>
        <v>1.865</v>
      </c>
      <c r="O82" s="9">
        <f>M82*N82</f>
        <v>83.365500000000011</v>
      </c>
      <c r="P82" s="8">
        <f t="shared" si="33"/>
        <v>4931.2603066096508</v>
      </c>
      <c r="Q82" s="9">
        <f>(21.37+(C82/(E82*F82))*((0.0037*G82)+(0.0000601*P82)-(0.00362*O82)))</f>
        <v>26.003067430415847</v>
      </c>
      <c r="R82" s="11">
        <f>(44/28)*0.0075*(14/62)*Q82/N82</f>
        <v>3.7105475447709195E-2</v>
      </c>
    </row>
    <row r="83" spans="1:18" ht="16" customHeight="1">
      <c r="A83" s="6" t="s">
        <v>78</v>
      </c>
      <c r="B83" s="52">
        <v>10.551366041366038</v>
      </c>
      <c r="C83" s="52">
        <v>253.22348571428583</v>
      </c>
      <c r="D83" s="8">
        <v>27.770961808523644</v>
      </c>
      <c r="E83" s="8">
        <v>14.361842105263158</v>
      </c>
      <c r="F83" s="6">
        <v>0.9</v>
      </c>
      <c r="G83" s="9">
        <f>$G82</f>
        <v>85.676888888888868</v>
      </c>
      <c r="H83" s="53">
        <f t="shared" si="32"/>
        <v>0.71207594380829853</v>
      </c>
      <c r="I83" s="6">
        <v>11</v>
      </c>
      <c r="J83" s="6">
        <v>0.85</v>
      </c>
      <c r="K83" s="6">
        <v>5000</v>
      </c>
      <c r="L83" s="6">
        <v>1300</v>
      </c>
      <c r="M83" s="6">
        <v>44.7</v>
      </c>
      <c r="N83" s="9">
        <f>$N82</f>
        <v>1.865</v>
      </c>
      <c r="O83" s="9">
        <f>M83*N83</f>
        <v>83.365500000000011</v>
      </c>
      <c r="P83" s="8">
        <f t="shared" si="33"/>
        <v>3576.563263218954</v>
      </c>
      <c r="Q83" s="9">
        <f>(21.37+(C83/(E83*F83))*((0.0037*G83)+(0.0000601*P83)-(0.00362*O83)))</f>
        <v>25.87926111918776</v>
      </c>
      <c r="R83" s="11">
        <f t="shared" ref="R83" si="35">(44/28)*0.0075*(14/62)*Q83/N83</f>
        <v>3.6928808135137763E-2</v>
      </c>
    </row>
    <row r="84" spans="1:18" ht="16" customHeight="1">
      <c r="D84" s="19"/>
      <c r="F84" s="19"/>
      <c r="P84" s="41" t="s">
        <v>59</v>
      </c>
      <c r="Q84" s="42">
        <f>AVERAGE(Q79:Q83)</f>
        <v>27.167544999110174</v>
      </c>
      <c r="R84" s="43">
        <f>AVERAGE(R79:R83)</f>
        <v>3.8767144554641343E-2</v>
      </c>
    </row>
    <row r="86" spans="1:18" ht="16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8" ht="45.5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82</v>
      </c>
      <c r="N87" s="27" t="s">
        <v>83</v>
      </c>
      <c r="O87" s="27" t="s">
        <v>130</v>
      </c>
      <c r="P87" s="27" t="s">
        <v>128</v>
      </c>
      <c r="Q87" s="27" t="s">
        <v>85</v>
      </c>
      <c r="R87" s="27" t="s">
        <v>122</v>
      </c>
    </row>
    <row r="88" spans="1:18" ht="16" customHeight="1">
      <c r="A88" s="6" t="s">
        <v>29</v>
      </c>
      <c r="B88" s="52">
        <v>11.727928509905256</v>
      </c>
      <c r="C88" s="52">
        <v>203.03460465116268</v>
      </c>
      <c r="D88" s="8">
        <v>36.857899930695766</v>
      </c>
      <c r="E88" s="8">
        <v>14.334415584415584</v>
      </c>
      <c r="F88" s="6">
        <v>0.9</v>
      </c>
      <c r="G88" s="9">
        <f>'Summary N2O from residue'!H18*1000</f>
        <v>95.881333333333316</v>
      </c>
      <c r="H88" s="53">
        <f>D88*100/(3000*L88/1000)</f>
        <v>0.95240051500505862</v>
      </c>
      <c r="I88" s="6">
        <v>11</v>
      </c>
      <c r="J88" s="6">
        <v>0.85</v>
      </c>
      <c r="K88" s="6">
        <v>5000</v>
      </c>
      <c r="L88" s="6">
        <v>1290</v>
      </c>
      <c r="M88" s="6">
        <v>44.7</v>
      </c>
      <c r="N88" s="9">
        <f>N79</f>
        <v>1.865</v>
      </c>
      <c r="O88" s="9">
        <f>M88*N88</f>
        <v>83.365500000000011</v>
      </c>
      <c r="P88" s="8">
        <f>((H88/100)*K88*L88)/I88*J88</f>
        <v>4746.8507486502131</v>
      </c>
      <c r="Q88" s="9">
        <f>(21.37+(C88/(E88*F88))*((0.0037*G88)+(0.0000601*P88)-(0.00362*O88)))</f>
        <v>26.693567560047271</v>
      </c>
      <c r="R88" s="11">
        <f>(44/28)*0.0075*(14/62)*Q88/N88</f>
        <v>3.8090795186437765E-2</v>
      </c>
    </row>
    <row r="89" spans="1:18" ht="16" customHeight="1">
      <c r="A89" s="6" t="s">
        <v>30</v>
      </c>
      <c r="B89" s="52">
        <v>9.4458302537570837</v>
      </c>
      <c r="C89" s="52">
        <v>284.54814634146328</v>
      </c>
      <c r="D89" s="8">
        <v>39.95684061504582</v>
      </c>
      <c r="E89" s="8">
        <v>15.847457627118644</v>
      </c>
      <c r="F89" s="6">
        <v>0.9</v>
      </c>
      <c r="G89" s="9">
        <f>$G88</f>
        <v>95.881333333333316</v>
      </c>
      <c r="H89" s="53">
        <f t="shared" ref="H89:H92" si="36">D89*100/(3000*L89/1000)</f>
        <v>1.0405427243501515</v>
      </c>
      <c r="I89" s="6">
        <v>11</v>
      </c>
      <c r="J89" s="6">
        <v>0.85</v>
      </c>
      <c r="K89" s="6">
        <v>5000</v>
      </c>
      <c r="L89" s="6">
        <v>1280</v>
      </c>
      <c r="M89" s="6">
        <v>44.7</v>
      </c>
      <c r="N89" s="9">
        <f>$N88</f>
        <v>1.865</v>
      </c>
      <c r="O89" s="9">
        <f>M89*N89</f>
        <v>83.365500000000011</v>
      </c>
      <c r="P89" s="8">
        <f t="shared" ref="P89:P92" si="37">((H89/100)*K89*L89)/I89*J89</f>
        <v>5145.9567458771116</v>
      </c>
      <c r="Q89" s="9">
        <f>(21.37+(C89/(E89*F89))*((0.0037*G89)+(0.0000601*P89)-(0.00362*O89)))</f>
        <v>28.597062906656628</v>
      </c>
      <c r="R89" s="11">
        <f t="shared" ref="R89:R90" si="38">(44/28)*0.0075*(14/62)*Q89/N89</f>
        <v>4.0807017033627456E-2</v>
      </c>
    </row>
    <row r="90" spans="1:18" ht="16" customHeight="1">
      <c r="A90" s="6" t="s">
        <v>31</v>
      </c>
      <c r="B90" s="52">
        <v>12.222273035230357</v>
      </c>
      <c r="C90" s="52">
        <v>355.99029268292674</v>
      </c>
      <c r="D90" s="8">
        <v>42.523540569376941</v>
      </c>
      <c r="E90" s="8">
        <v>15.760948905109489</v>
      </c>
      <c r="F90" s="6">
        <v>0.9</v>
      </c>
      <c r="G90" s="9">
        <f>$G89</f>
        <v>95.881333333333316</v>
      </c>
      <c r="H90" s="53">
        <f t="shared" si="36"/>
        <v>1.1431059292843262</v>
      </c>
      <c r="I90" s="6">
        <v>11</v>
      </c>
      <c r="J90" s="6">
        <v>0.85</v>
      </c>
      <c r="K90" s="6">
        <v>5000</v>
      </c>
      <c r="L90" s="6">
        <v>1240</v>
      </c>
      <c r="M90" s="6">
        <v>44.7</v>
      </c>
      <c r="N90" s="9">
        <f>$N89</f>
        <v>1.865</v>
      </c>
      <c r="O90" s="9">
        <f>M90*N90</f>
        <v>83.365500000000011</v>
      </c>
      <c r="P90" s="8">
        <f t="shared" si="37"/>
        <v>5476.5165884803628</v>
      </c>
      <c r="Q90" s="9">
        <f>(21.37+(C90/(E90*F90))*((0.0037*G90)+(0.0000601*P90)-(0.00362*O90)))</f>
        <v>30.959788795952644</v>
      </c>
      <c r="R90" s="11">
        <f t="shared" si="38"/>
        <v>4.4178544939308013E-2</v>
      </c>
    </row>
    <row r="91" spans="1:18" ht="16" customHeight="1">
      <c r="A91" s="6" t="s">
        <v>77</v>
      </c>
      <c r="B91" s="52">
        <v>12.53773849607183</v>
      </c>
      <c r="C91" s="52">
        <v>220.62378048780485</v>
      </c>
      <c r="D91" s="8">
        <v>38.289785910145518</v>
      </c>
      <c r="E91" s="8">
        <v>16.486363636363638</v>
      </c>
      <c r="F91" s="6">
        <v>0.9</v>
      </c>
      <c r="G91" s="9">
        <f>$G90</f>
        <v>95.881333333333316</v>
      </c>
      <c r="H91" s="53">
        <f t="shared" si="36"/>
        <v>0.99712984141003957</v>
      </c>
      <c r="I91" s="6">
        <v>11</v>
      </c>
      <c r="J91" s="6">
        <v>0.85</v>
      </c>
      <c r="K91" s="6">
        <v>5000</v>
      </c>
      <c r="L91" s="6">
        <v>1280</v>
      </c>
      <c r="M91" s="6">
        <v>44.7</v>
      </c>
      <c r="N91" s="9">
        <f>$N90</f>
        <v>1.865</v>
      </c>
      <c r="O91" s="9">
        <f>M91*N91</f>
        <v>83.365500000000011</v>
      </c>
      <c r="P91" s="8">
        <f t="shared" si="37"/>
        <v>4931.2603066096508</v>
      </c>
      <c r="Q91" s="9">
        <f>(21.37+(C91/(E91*F91))*((0.0037*G91)+(0.0000601*P91)-(0.00362*O91)))</f>
        <v>26.564472109043557</v>
      </c>
      <c r="R91" s="11">
        <f>(44/28)*0.0075*(14/62)*Q91/N91</f>
        <v>3.7906580454831668E-2</v>
      </c>
    </row>
    <row r="92" spans="1:18" ht="16" customHeight="1">
      <c r="A92" s="6" t="s">
        <v>78</v>
      </c>
      <c r="B92" s="52">
        <v>10.551366041366038</v>
      </c>
      <c r="C92" s="52">
        <v>253.22348571428583</v>
      </c>
      <c r="D92" s="8">
        <v>27.770961808523644</v>
      </c>
      <c r="E92" s="8">
        <v>14.361842105263158</v>
      </c>
      <c r="F92" s="6">
        <v>0.9</v>
      </c>
      <c r="G92" s="9">
        <f>$G91</f>
        <v>95.881333333333316</v>
      </c>
      <c r="H92" s="53">
        <f t="shared" si="36"/>
        <v>0.71207594380829853</v>
      </c>
      <c r="I92" s="6">
        <v>11</v>
      </c>
      <c r="J92" s="6">
        <v>0.85</v>
      </c>
      <c r="K92" s="6">
        <v>5000</v>
      </c>
      <c r="L92" s="6">
        <v>1300</v>
      </c>
      <c r="M92" s="6">
        <v>44.7</v>
      </c>
      <c r="N92" s="9">
        <f>$N91</f>
        <v>1.865</v>
      </c>
      <c r="O92" s="9">
        <f>M92*N92</f>
        <v>83.365500000000011</v>
      </c>
      <c r="P92" s="8">
        <f t="shared" si="37"/>
        <v>3576.563263218954</v>
      </c>
      <c r="Q92" s="9">
        <f>(21.37+(C92/(E92*F92))*((0.0037*G92)+(0.0000601*P92)-(0.00362*O92)))</f>
        <v>26.618938631022033</v>
      </c>
      <c r="R92" s="11">
        <f t="shared" ref="R92" si="39">(44/28)*0.0075*(14/62)*Q92/N92</f>
        <v>3.7984302292818774E-2</v>
      </c>
    </row>
    <row r="93" spans="1:18" ht="16" customHeight="1">
      <c r="D93" s="19"/>
      <c r="F93" s="19"/>
      <c r="P93" s="41" t="s">
        <v>59</v>
      </c>
      <c r="Q93" s="42">
        <f>AVERAGE(Q88:Q92)</f>
        <v>27.886766000544423</v>
      </c>
      <c r="R93" s="43">
        <f>AVERAGE(R88:R92)</f>
        <v>3.9793447981404731E-2</v>
      </c>
    </row>
    <row r="96" spans="1:18" ht="16" customHeight="1">
      <c r="A96" s="45"/>
      <c r="B96" s="45"/>
      <c r="C96" s="45"/>
      <c r="D96" s="45"/>
      <c r="E96" s="45"/>
      <c r="F96" s="45"/>
      <c r="G96" s="45"/>
      <c r="H96" s="45"/>
      <c r="I96" s="46"/>
      <c r="J96" s="45"/>
      <c r="K96" s="45"/>
      <c r="L96" s="45"/>
      <c r="M96" s="45"/>
      <c r="N96" s="45"/>
      <c r="O96" s="45"/>
      <c r="P96" s="45"/>
      <c r="Q96" s="45"/>
      <c r="R96" s="45"/>
    </row>
    <row r="97" spans="1:18" ht="16" customHeight="1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</row>
    <row r="98" spans="1:18" ht="16" customHeight="1">
      <c r="B98" s="51"/>
      <c r="C98" s="51"/>
      <c r="D98" s="23"/>
      <c r="E98" s="23"/>
      <c r="G98" s="24"/>
      <c r="H98" s="39"/>
      <c r="N98" s="24"/>
      <c r="O98" s="24"/>
      <c r="P98" s="23"/>
      <c r="Q98" s="24"/>
      <c r="R98" s="26"/>
    </row>
    <row r="99" spans="1:18" ht="16" customHeight="1">
      <c r="B99" s="51"/>
      <c r="C99" s="51"/>
      <c r="D99" s="23"/>
      <c r="E99" s="23"/>
      <c r="G99" s="24"/>
      <c r="H99" s="39"/>
      <c r="N99" s="24"/>
      <c r="O99" s="24"/>
      <c r="P99" s="23"/>
      <c r="Q99" s="24"/>
      <c r="R99" s="26"/>
    </row>
    <row r="100" spans="1:18" ht="16" customHeight="1">
      <c r="B100" s="51"/>
      <c r="C100" s="51"/>
      <c r="D100" s="23"/>
      <c r="E100" s="23"/>
      <c r="G100" s="24"/>
      <c r="H100" s="39"/>
      <c r="N100" s="24"/>
      <c r="O100" s="24"/>
      <c r="P100" s="23"/>
      <c r="Q100" s="24"/>
      <c r="R100" s="26"/>
    </row>
    <row r="101" spans="1:18" ht="16" customHeight="1">
      <c r="B101" s="51"/>
      <c r="C101" s="51"/>
      <c r="D101" s="23"/>
      <c r="E101" s="23"/>
      <c r="G101" s="24"/>
      <c r="H101" s="39"/>
      <c r="N101" s="24"/>
      <c r="O101" s="24"/>
      <c r="P101" s="23"/>
      <c r="Q101" s="24"/>
      <c r="R101" s="26"/>
    </row>
    <row r="102" spans="1:18" ht="16" customHeight="1">
      <c r="B102" s="51"/>
      <c r="C102" s="51"/>
      <c r="D102" s="23"/>
      <c r="E102" s="23"/>
      <c r="G102" s="24"/>
      <c r="H102" s="39"/>
      <c r="N102" s="24"/>
      <c r="O102" s="24"/>
      <c r="P102" s="23"/>
      <c r="Q102" s="24"/>
      <c r="R102" s="26"/>
    </row>
    <row r="103" spans="1:18" ht="16" customHeight="1">
      <c r="A103" s="12"/>
      <c r="D103" s="19"/>
      <c r="E103" s="19"/>
      <c r="R103" s="20"/>
    </row>
  </sheetData>
  <sortState ref="H21:I50">
    <sortCondition descending="1" ref="I21"/>
  </sortState>
  <mergeCells count="20">
    <mergeCell ref="A12:C12"/>
    <mergeCell ref="A2:C2"/>
    <mergeCell ref="N96:N97"/>
    <mergeCell ref="O96:O97"/>
    <mergeCell ref="P96:P97"/>
    <mergeCell ref="Q96:Q97"/>
    <mergeCell ref="R96:R97"/>
    <mergeCell ref="A96:A97"/>
    <mergeCell ref="B96:B97"/>
    <mergeCell ref="C96:C97"/>
    <mergeCell ref="D96:D97"/>
    <mergeCell ref="E96:E97"/>
    <mergeCell ref="F96:F97"/>
    <mergeCell ref="G96:G97"/>
    <mergeCell ref="H96:H97"/>
    <mergeCell ref="I96:I97"/>
    <mergeCell ref="J96:J97"/>
    <mergeCell ref="K96:K97"/>
    <mergeCell ref="L96:L97"/>
    <mergeCell ref="M96:M97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13"/>
  <sheetViews>
    <sheetView zoomScale="104" zoomScaleNormal="104" workbookViewId="0">
      <selection activeCell="A10" sqref="A10:XFD10"/>
    </sheetView>
  </sheetViews>
  <sheetFormatPr defaultColWidth="15.453125" defaultRowHeight="16" customHeight="1"/>
  <cols>
    <col min="1" max="17" width="15.453125" style="48"/>
    <col min="18" max="18" width="18.90625" style="48" customWidth="1"/>
    <col min="19" max="16384" width="15.453125" style="48"/>
  </cols>
  <sheetData>
    <row r="1" spans="1:19" s="65" customFormat="1" ht="16" customHeight="1">
      <c r="A1" s="65" t="s">
        <v>3</v>
      </c>
    </row>
    <row r="2" spans="1:19" ht="16" customHeight="1">
      <c r="A2" s="2" t="s">
        <v>100</v>
      </c>
      <c r="B2" s="2"/>
      <c r="C2" s="2"/>
    </row>
    <row r="3" spans="1:19" ht="16" customHeight="1">
      <c r="A3" s="64"/>
      <c r="B3" s="64"/>
      <c r="C3" s="64"/>
      <c r="D3" s="64"/>
    </row>
    <row r="4" spans="1:19" s="1" customFormat="1" ht="41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131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19" ht="16" customHeight="1">
      <c r="A5" s="6" t="s">
        <v>39</v>
      </c>
      <c r="B5" s="7">
        <v>7.6775522001425616</v>
      </c>
      <c r="C5" s="7">
        <v>481.90532530120498</v>
      </c>
      <c r="D5" s="66">
        <v>58.84782580359245</v>
      </c>
      <c r="E5" s="66">
        <v>27.664150943396226</v>
      </c>
      <c r="F5" s="67">
        <v>0.9</v>
      </c>
      <c r="G5" s="9">
        <v>36.74</v>
      </c>
      <c r="H5" s="9">
        <f>D5*100/(3000*L5/1000)</f>
        <v>1.58193080117184</v>
      </c>
      <c r="I5" s="67">
        <v>11</v>
      </c>
      <c r="J5" s="67">
        <v>0.85</v>
      </c>
      <c r="K5" s="67">
        <v>5000</v>
      </c>
      <c r="L5" s="67">
        <v>1240</v>
      </c>
      <c r="M5" s="67">
        <v>44.7</v>
      </c>
      <c r="N5" s="6">
        <v>1.865</v>
      </c>
      <c r="O5" s="67">
        <f t="shared" ref="O5:O9" si="0">M5*N5</f>
        <v>83.365500000000011</v>
      </c>
      <c r="P5" s="10">
        <f>((H5/100)*K5*L5)/I5*J5</f>
        <v>7578.8866565232702</v>
      </c>
      <c r="Q5" s="68">
        <f>(21.37+(C5/(E5*F5))*((0.0037*G5)+(0.0000601*P5)-(0.00362*O5)))</f>
        <v>26.976210143925861</v>
      </c>
      <c r="R5" s="69">
        <f>(44/28)*0.0075*(14/62)*Q5/N5</f>
        <v>3.8494116351706013E-2</v>
      </c>
    </row>
    <row r="6" spans="1:19" ht="16" customHeight="1">
      <c r="A6" s="6" t="s">
        <v>38</v>
      </c>
      <c r="B6" s="7">
        <v>8.8453014076508083</v>
      </c>
      <c r="C6" s="7">
        <v>447.24197590361433</v>
      </c>
      <c r="D6" s="66">
        <v>46.819510866991834</v>
      </c>
      <c r="E6" s="66">
        <v>38.928571428571431</v>
      </c>
      <c r="F6" s="67">
        <v>0.9</v>
      </c>
      <c r="G6" s="68">
        <f>$G5</f>
        <v>36.74</v>
      </c>
      <c r="H6" s="9">
        <f t="shared" ref="H6:H9" si="1">D6*100/(3000*L6/1000)</f>
        <v>1.2585890018008556</v>
      </c>
      <c r="I6" s="67">
        <v>11</v>
      </c>
      <c r="J6" s="67">
        <v>0.85</v>
      </c>
      <c r="K6" s="67">
        <v>5000</v>
      </c>
      <c r="L6" s="67">
        <v>1240</v>
      </c>
      <c r="M6" s="67">
        <v>44.7</v>
      </c>
      <c r="N6" s="67">
        <f>$N5</f>
        <v>1.865</v>
      </c>
      <c r="O6" s="67">
        <f t="shared" si="0"/>
        <v>83.365500000000011</v>
      </c>
      <c r="P6" s="10">
        <f t="shared" ref="P6:P9" si="2">((H6/100)*K6*L6)/I6*J6</f>
        <v>6029.7854904459182</v>
      </c>
      <c r="Q6" s="68">
        <f t="shared" ref="Q6:Q9" si="3">(21.37+(C6/(E6*F6))*((0.0037*G6)+(0.0000601*P6)-(0.00362*O6)))</f>
        <v>23.878959073356491</v>
      </c>
      <c r="R6" s="69">
        <f t="shared" ref="R6:R9" si="4">(44/28)*0.0075*(14/62)*Q6/N6</f>
        <v>3.4074446485374207E-2</v>
      </c>
    </row>
    <row r="7" spans="1:19" ht="16" customHeight="1">
      <c r="A7" s="6" t="s">
        <v>37</v>
      </c>
      <c r="B7" s="7">
        <v>6.804890709260631</v>
      </c>
      <c r="C7" s="7">
        <v>448.31929268292657</v>
      </c>
      <c r="D7" s="66">
        <v>61.812721333496135</v>
      </c>
      <c r="E7" s="66">
        <v>28.921052631578949</v>
      </c>
      <c r="F7" s="67">
        <v>0.9</v>
      </c>
      <c r="G7" s="68">
        <f>$G6</f>
        <v>36.74</v>
      </c>
      <c r="H7" s="9">
        <f t="shared" si="1"/>
        <v>1.6751414995527409</v>
      </c>
      <c r="I7" s="67">
        <v>11</v>
      </c>
      <c r="J7" s="67">
        <v>0.85</v>
      </c>
      <c r="K7" s="67">
        <v>5000</v>
      </c>
      <c r="L7" s="67">
        <v>1230</v>
      </c>
      <c r="M7" s="67">
        <v>44.7</v>
      </c>
      <c r="N7" s="67">
        <f>$N6</f>
        <v>1.865</v>
      </c>
      <c r="O7" s="67">
        <f t="shared" si="0"/>
        <v>83.365500000000011</v>
      </c>
      <c r="P7" s="10">
        <f t="shared" si="2"/>
        <v>7960.729262647229</v>
      </c>
      <c r="Q7" s="68">
        <f t="shared" si="3"/>
        <v>26.754091841813999</v>
      </c>
      <c r="R7" s="69">
        <f t="shared" si="4"/>
        <v>3.8177161237562131E-2</v>
      </c>
    </row>
    <row r="8" spans="1:19" ht="16" customHeight="1">
      <c r="A8" s="6" t="s">
        <v>41</v>
      </c>
      <c r="B8" s="7">
        <v>7.3335437710437699</v>
      </c>
      <c r="C8" s="7">
        <v>449.01126086956515</v>
      </c>
      <c r="D8" s="66">
        <v>78.293266510101418</v>
      </c>
      <c r="E8" s="66">
        <v>22.490243902439026</v>
      </c>
      <c r="F8" s="67">
        <v>0.9</v>
      </c>
      <c r="G8" s="68">
        <f>$G7</f>
        <v>36.74</v>
      </c>
      <c r="H8" s="9">
        <f t="shared" si="1"/>
        <v>2.0712504367751698</v>
      </c>
      <c r="I8" s="67">
        <v>11</v>
      </c>
      <c r="J8" s="67">
        <v>0.85</v>
      </c>
      <c r="K8" s="67">
        <v>5000</v>
      </c>
      <c r="L8" s="67">
        <v>1260</v>
      </c>
      <c r="M8" s="67">
        <v>44.7</v>
      </c>
      <c r="N8" s="67">
        <f>$N7</f>
        <v>1.865</v>
      </c>
      <c r="O8" s="67">
        <f t="shared" si="0"/>
        <v>83.365500000000011</v>
      </c>
      <c r="P8" s="10">
        <f t="shared" si="2"/>
        <v>10083.22371721003</v>
      </c>
      <c r="Q8" s="68">
        <f t="shared" si="3"/>
        <v>31.134000915257467</v>
      </c>
      <c r="R8" s="69">
        <f t="shared" si="4"/>
        <v>4.4427139591952616E-2</v>
      </c>
    </row>
    <row r="9" spans="1:19" ht="16" customHeight="1">
      <c r="A9" s="6" t="s">
        <v>40</v>
      </c>
      <c r="B9" s="7">
        <v>8.1287291967291964</v>
      </c>
      <c r="C9" s="7">
        <v>313.96431999999993</v>
      </c>
      <c r="D9" s="8">
        <v>49.808832267557023</v>
      </c>
      <c r="E9" s="8">
        <v>29.911585365853657</v>
      </c>
      <c r="F9" s="67">
        <v>0.9</v>
      </c>
      <c r="G9" s="68">
        <f>$G8</f>
        <v>36.74</v>
      </c>
      <c r="H9" s="9">
        <f t="shared" si="1"/>
        <v>1.3073184322193445</v>
      </c>
      <c r="I9" s="67">
        <v>11</v>
      </c>
      <c r="J9" s="67">
        <v>0.85</v>
      </c>
      <c r="K9" s="67">
        <v>5000</v>
      </c>
      <c r="L9" s="67">
        <v>1270</v>
      </c>
      <c r="M9" s="67">
        <v>44.7</v>
      </c>
      <c r="N9" s="67">
        <f>$N8</f>
        <v>1.865</v>
      </c>
      <c r="O9" s="67">
        <f t="shared" si="0"/>
        <v>83.365500000000011</v>
      </c>
      <c r="P9" s="10">
        <f t="shared" si="2"/>
        <v>6414.7738526399189</v>
      </c>
      <c r="Q9" s="68">
        <f t="shared" si="3"/>
        <v>23.93209015176048</v>
      </c>
      <c r="R9" s="69">
        <f t="shared" si="4"/>
        <v>3.4150262691693148E-2</v>
      </c>
    </row>
    <row r="10" spans="1:19" s="1" customFormat="1" ht="16" customHeight="1">
      <c r="D10" s="19"/>
      <c r="F10" s="19"/>
      <c r="P10" s="41" t="s">
        <v>59</v>
      </c>
      <c r="Q10" s="42">
        <f>AVERAGE(Q5:Q9)</f>
        <v>26.535070425222862</v>
      </c>
      <c r="R10" s="43">
        <f>AVERAGE(R5:R9)</f>
        <v>3.7864625271657612E-2</v>
      </c>
    </row>
    <row r="11" spans="1:19" ht="16" customHeight="1">
      <c r="S11" s="56"/>
    </row>
    <row r="12" spans="1:19" ht="16" customHeight="1">
      <c r="A12" s="21" t="s">
        <v>121</v>
      </c>
      <c r="B12" s="21"/>
      <c r="C12" s="21"/>
      <c r="J12" s="59"/>
    </row>
    <row r="13" spans="1:19" ht="16" customHeight="1">
      <c r="A13" s="35"/>
      <c r="B13" s="35"/>
      <c r="C13" s="35"/>
      <c r="D13" s="35"/>
      <c r="G13" s="35"/>
      <c r="H13" s="35"/>
      <c r="I13" s="36"/>
      <c r="J13" s="35"/>
      <c r="K13" s="35"/>
      <c r="L13" s="35"/>
      <c r="M13" s="35"/>
      <c r="N13" s="35"/>
      <c r="O13" s="35"/>
      <c r="P13" s="35"/>
      <c r="Q13" s="35"/>
      <c r="R13" s="35"/>
    </row>
    <row r="14" spans="1:19" ht="16" customHeight="1">
      <c r="A14" s="22" t="s">
        <v>101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9" s="1" customFormat="1" ht="41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82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19" ht="16" customHeight="1">
      <c r="A16" s="6" t="s">
        <v>39</v>
      </c>
      <c r="B16" s="7">
        <v>7.6775522001425616</v>
      </c>
      <c r="C16" s="7">
        <v>481.90532530120498</v>
      </c>
      <c r="D16" s="66">
        <v>58.84782580359245</v>
      </c>
      <c r="E16" s="66">
        <v>27.664150943396226</v>
      </c>
      <c r="F16" s="67">
        <v>0.9</v>
      </c>
      <c r="G16" s="68">
        <f>'Summary N2O from residue'!H10*1000</f>
        <v>31.960444444444445</v>
      </c>
      <c r="H16" s="9">
        <f>D16*100/(3000*L16/1000)</f>
        <v>1.58193080117184</v>
      </c>
      <c r="I16" s="67">
        <v>11</v>
      </c>
      <c r="J16" s="67">
        <v>0.85</v>
      </c>
      <c r="K16" s="67">
        <v>5000</v>
      </c>
      <c r="L16" s="67">
        <v>1240</v>
      </c>
      <c r="M16" s="67">
        <v>44.7</v>
      </c>
      <c r="N16" s="67">
        <f>N5</f>
        <v>1.865</v>
      </c>
      <c r="O16" s="67">
        <f t="shared" ref="O16:O20" si="5">M16*N16</f>
        <v>83.365500000000011</v>
      </c>
      <c r="P16" s="10">
        <f>((H16/100)*K16*L16)/I16*J16</f>
        <v>7578.8866565232702</v>
      </c>
      <c r="Q16" s="68">
        <f>(21.37+(C16/(E16*F16))*((0.0037*G16)+(0.0000601*P16)-(0.00362*O16)))</f>
        <v>26.633922589410531</v>
      </c>
      <c r="R16" s="69">
        <f>(44/28)*0.0075*(14/62)*Q16/N16</f>
        <v>3.8005683881801748E-2</v>
      </c>
    </row>
    <row r="17" spans="1:18" ht="16" customHeight="1">
      <c r="A17" s="6" t="s">
        <v>38</v>
      </c>
      <c r="B17" s="7">
        <v>8.8453014076508083</v>
      </c>
      <c r="C17" s="7">
        <v>447.24197590361433</v>
      </c>
      <c r="D17" s="66">
        <v>46.819510866991834</v>
      </c>
      <c r="E17" s="66">
        <v>38.928571428571431</v>
      </c>
      <c r="F17" s="67">
        <v>0.9</v>
      </c>
      <c r="G17" s="68">
        <f>$G16</f>
        <v>31.960444444444445</v>
      </c>
      <c r="H17" s="9">
        <f t="shared" ref="H17:H20" si="6">D17*100/(3000*L17/1000)</f>
        <v>1.2585890018008556</v>
      </c>
      <c r="I17" s="67">
        <v>11</v>
      </c>
      <c r="J17" s="67">
        <v>0.85</v>
      </c>
      <c r="K17" s="67">
        <v>5000</v>
      </c>
      <c r="L17" s="67">
        <v>1240</v>
      </c>
      <c r="M17" s="67">
        <v>44.7</v>
      </c>
      <c r="N17" s="67">
        <f>$N16</f>
        <v>1.865</v>
      </c>
      <c r="O17" s="67">
        <f t="shared" si="5"/>
        <v>83.365500000000011</v>
      </c>
      <c r="P17" s="10">
        <f t="shared" ref="P17:P20" si="7">((H17/100)*K17*L17)/I17*J17</f>
        <v>6029.7854904459182</v>
      </c>
      <c r="Q17" s="68">
        <f t="shared" ref="Q17:Q20" si="8">(21.37+(C17/(E17*F17))*((0.0037*G17)+(0.0000601*P17)-(0.00362*O17)))</f>
        <v>23.653212680497202</v>
      </c>
      <c r="R17" s="69">
        <f t="shared" ref="R17:R20" si="9">(44/28)*0.0075*(14/62)*Q17/N17</f>
        <v>3.3752314211554425E-2</v>
      </c>
    </row>
    <row r="18" spans="1:18" ht="16" customHeight="1">
      <c r="A18" s="6" t="s">
        <v>37</v>
      </c>
      <c r="B18" s="7">
        <v>6.804890709260631</v>
      </c>
      <c r="C18" s="7">
        <v>448.31929268292657</v>
      </c>
      <c r="D18" s="66">
        <v>61.812721333496135</v>
      </c>
      <c r="E18" s="66">
        <v>28.921052631578949</v>
      </c>
      <c r="F18" s="67">
        <v>0.9</v>
      </c>
      <c r="G18" s="68">
        <f>$G17</f>
        <v>31.960444444444445</v>
      </c>
      <c r="H18" s="9">
        <f t="shared" si="6"/>
        <v>1.6751414995527409</v>
      </c>
      <c r="I18" s="67">
        <v>11</v>
      </c>
      <c r="J18" s="67">
        <v>0.85</v>
      </c>
      <c r="K18" s="67">
        <v>5000</v>
      </c>
      <c r="L18" s="67">
        <v>1230</v>
      </c>
      <c r="M18" s="67">
        <v>44.7</v>
      </c>
      <c r="N18" s="67">
        <f>$N17</f>
        <v>1.865</v>
      </c>
      <c r="O18" s="67">
        <f t="shared" si="5"/>
        <v>83.365500000000011</v>
      </c>
      <c r="P18" s="10">
        <f t="shared" si="7"/>
        <v>7960.729262647229</v>
      </c>
      <c r="Q18" s="68">
        <f t="shared" si="8"/>
        <v>26.449498741601317</v>
      </c>
      <c r="R18" s="69">
        <f t="shared" si="9"/>
        <v>3.7742517446719859E-2</v>
      </c>
    </row>
    <row r="19" spans="1:18" ht="16" customHeight="1">
      <c r="A19" s="6" t="s">
        <v>41</v>
      </c>
      <c r="B19" s="7">
        <v>7.3335437710437699</v>
      </c>
      <c r="C19" s="7">
        <v>449.01126086956515</v>
      </c>
      <c r="D19" s="66">
        <v>78.293266510101418</v>
      </c>
      <c r="E19" s="66">
        <v>22.490243902439026</v>
      </c>
      <c r="F19" s="67">
        <v>0.9</v>
      </c>
      <c r="G19" s="68">
        <f>$G18</f>
        <v>31.960444444444445</v>
      </c>
      <c r="H19" s="9">
        <f t="shared" si="6"/>
        <v>2.0712504367751698</v>
      </c>
      <c r="I19" s="67">
        <v>11</v>
      </c>
      <c r="J19" s="67">
        <v>0.85</v>
      </c>
      <c r="K19" s="67">
        <v>5000</v>
      </c>
      <c r="L19" s="67">
        <v>1260</v>
      </c>
      <c r="M19" s="67">
        <v>44.7</v>
      </c>
      <c r="N19" s="67">
        <f>$N18</f>
        <v>1.865</v>
      </c>
      <c r="O19" s="67">
        <f t="shared" si="5"/>
        <v>83.365500000000011</v>
      </c>
      <c r="P19" s="10">
        <f t="shared" si="7"/>
        <v>10083.22371721003</v>
      </c>
      <c r="Q19" s="68">
        <f t="shared" si="8"/>
        <v>30.741708603972484</v>
      </c>
      <c r="R19" s="69">
        <f t="shared" si="9"/>
        <v>4.3867352068282101E-2</v>
      </c>
    </row>
    <row r="20" spans="1:18" ht="16" customHeight="1">
      <c r="A20" s="6" t="s">
        <v>40</v>
      </c>
      <c r="B20" s="7">
        <v>8.1287291967291964</v>
      </c>
      <c r="C20" s="7">
        <v>313.96431999999993</v>
      </c>
      <c r="D20" s="8">
        <v>49.808832267557023</v>
      </c>
      <c r="E20" s="8">
        <v>29.911585365853657</v>
      </c>
      <c r="F20" s="67">
        <v>0.9</v>
      </c>
      <c r="G20" s="68">
        <f>$G19</f>
        <v>31.960444444444445</v>
      </c>
      <c r="H20" s="9">
        <f t="shared" si="6"/>
        <v>1.3073184322193445</v>
      </c>
      <c r="I20" s="67">
        <v>11</v>
      </c>
      <c r="J20" s="67">
        <v>0.85</v>
      </c>
      <c r="K20" s="67">
        <v>5000</v>
      </c>
      <c r="L20" s="67">
        <v>1270</v>
      </c>
      <c r="M20" s="67">
        <v>44.7</v>
      </c>
      <c r="N20" s="67">
        <f>$N19</f>
        <v>1.865</v>
      </c>
      <c r="O20" s="67">
        <f t="shared" si="5"/>
        <v>83.365500000000011</v>
      </c>
      <c r="P20" s="10">
        <f t="shared" si="7"/>
        <v>6414.7738526399189</v>
      </c>
      <c r="Q20" s="68">
        <f t="shared" si="8"/>
        <v>23.725843174257076</v>
      </c>
      <c r="R20" s="69">
        <f t="shared" si="9"/>
        <v>3.3855955407354643E-2</v>
      </c>
    </row>
    <row r="21" spans="1:18" s="1" customFormat="1" ht="16" customHeight="1">
      <c r="D21" s="19"/>
      <c r="F21" s="19"/>
      <c r="P21" s="41" t="s">
        <v>59</v>
      </c>
      <c r="Q21" s="42">
        <f>AVERAGE(Q16:Q20)</f>
        <v>26.24083715794772</v>
      </c>
      <c r="R21" s="43">
        <f>AVERAGE(R16:R20)</f>
        <v>3.7444764603142555E-2</v>
      </c>
    </row>
    <row r="23" spans="1:18" ht="16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</row>
    <row r="24" spans="1:18" s="1" customFormat="1" ht="41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82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8" ht="16" customHeight="1">
      <c r="A25" s="6" t="s">
        <v>39</v>
      </c>
      <c r="B25" s="7">
        <v>7.6775522001425616</v>
      </c>
      <c r="C25" s="7">
        <v>481.90532530120498</v>
      </c>
      <c r="D25" s="66">
        <v>58.84782580359245</v>
      </c>
      <c r="E25" s="66">
        <v>27.664150943396226</v>
      </c>
      <c r="F25" s="67">
        <v>0.9</v>
      </c>
      <c r="G25" s="68">
        <f>'Summary N2O from residue'!H11*1000</f>
        <v>42.164888888888889</v>
      </c>
      <c r="H25" s="9">
        <f>D25*100/(3000*L25/1000)</f>
        <v>1.58193080117184</v>
      </c>
      <c r="I25" s="67">
        <v>11</v>
      </c>
      <c r="J25" s="67">
        <v>0.85</v>
      </c>
      <c r="K25" s="67">
        <v>5000</v>
      </c>
      <c r="L25" s="67">
        <v>1240</v>
      </c>
      <c r="M25" s="67">
        <v>44.7</v>
      </c>
      <c r="N25" s="67">
        <f>N16</f>
        <v>1.865</v>
      </c>
      <c r="O25" s="67">
        <f t="shared" ref="O25:O29" si="10">M25*N25</f>
        <v>83.365500000000011</v>
      </c>
      <c r="P25" s="10">
        <f>((H25/100)*K25*L25)/I25*J25</f>
        <v>7578.8866565232702</v>
      </c>
      <c r="Q25" s="68">
        <f>(21.37+(C25/(E25*F25))*((0.0037*G25)+(0.0000601*P25)-(0.00362*O25)))</f>
        <v>27.364713202361241</v>
      </c>
      <c r="R25" s="69">
        <f>(44/28)*0.0075*(14/62)*Q25/N25</f>
        <v>3.9048496742969854E-2</v>
      </c>
    </row>
    <row r="26" spans="1:18" ht="16" customHeight="1">
      <c r="A26" s="6" t="s">
        <v>38</v>
      </c>
      <c r="B26" s="7">
        <v>8.8453014076508083</v>
      </c>
      <c r="C26" s="7">
        <v>447.24197590361433</v>
      </c>
      <c r="D26" s="66">
        <v>46.819510866991834</v>
      </c>
      <c r="E26" s="66">
        <v>38.928571428571431</v>
      </c>
      <c r="F26" s="67">
        <v>0.9</v>
      </c>
      <c r="G26" s="68">
        <f>$G25</f>
        <v>42.164888888888889</v>
      </c>
      <c r="H26" s="9">
        <f t="shared" ref="H26:H29" si="11">D26*100/(3000*L26/1000)</f>
        <v>1.2585890018008556</v>
      </c>
      <c r="I26" s="67">
        <v>11</v>
      </c>
      <c r="J26" s="67">
        <v>0.85</v>
      </c>
      <c r="K26" s="67">
        <v>5000</v>
      </c>
      <c r="L26" s="67">
        <v>1240</v>
      </c>
      <c r="M26" s="67">
        <v>44.7</v>
      </c>
      <c r="N26" s="67">
        <f>$N25</f>
        <v>1.865</v>
      </c>
      <c r="O26" s="67">
        <f t="shared" si="10"/>
        <v>83.365500000000011</v>
      </c>
      <c r="P26" s="10">
        <f t="shared" ref="P26:P29" si="12">((H26/100)*K26*L26)/I26*J26</f>
        <v>6029.7854904459182</v>
      </c>
      <c r="Q26" s="68">
        <f t="shared" ref="Q26:Q29" si="13">(21.37+(C26/(E26*F26))*((0.0037*G26)+(0.0000601*P26)-(0.00362*O26)))</f>
        <v>24.135185637541028</v>
      </c>
      <c r="R26" s="69">
        <f t="shared" ref="R26:R29" si="14">(44/28)*0.0075*(14/62)*Q26/N26</f>
        <v>3.4440072906635553E-2</v>
      </c>
    </row>
    <row r="27" spans="1:18" ht="16" customHeight="1">
      <c r="A27" s="6" t="s">
        <v>37</v>
      </c>
      <c r="B27" s="7">
        <v>6.804890709260631</v>
      </c>
      <c r="C27" s="7">
        <v>448.31929268292657</v>
      </c>
      <c r="D27" s="66">
        <v>61.812721333496135</v>
      </c>
      <c r="E27" s="66">
        <v>28.921052631578949</v>
      </c>
      <c r="F27" s="67">
        <v>0.9</v>
      </c>
      <c r="G27" s="68">
        <f>$G26</f>
        <v>42.164888888888889</v>
      </c>
      <c r="H27" s="9">
        <f t="shared" si="11"/>
        <v>1.6751414995527409</v>
      </c>
      <c r="I27" s="67">
        <v>11</v>
      </c>
      <c r="J27" s="67">
        <v>0.85</v>
      </c>
      <c r="K27" s="67">
        <v>5000</v>
      </c>
      <c r="L27" s="67">
        <v>1230</v>
      </c>
      <c r="M27" s="67">
        <v>44.7</v>
      </c>
      <c r="N27" s="67">
        <f>$N26</f>
        <v>1.865</v>
      </c>
      <c r="O27" s="67">
        <f t="shared" si="10"/>
        <v>83.365500000000011</v>
      </c>
      <c r="P27" s="10">
        <f t="shared" si="12"/>
        <v>7960.729262647229</v>
      </c>
      <c r="Q27" s="68">
        <f t="shared" si="13"/>
        <v>27.099810958532984</v>
      </c>
      <c r="R27" s="69">
        <f t="shared" si="14"/>
        <v>3.8670490427725863E-2</v>
      </c>
    </row>
    <row r="28" spans="1:18" ht="16" customHeight="1">
      <c r="A28" s="6" t="s">
        <v>41</v>
      </c>
      <c r="B28" s="7">
        <v>7.3335437710437699</v>
      </c>
      <c r="C28" s="7">
        <v>449.01126086956515</v>
      </c>
      <c r="D28" s="66">
        <v>78.293266510101418</v>
      </c>
      <c r="E28" s="66">
        <v>22.490243902439026</v>
      </c>
      <c r="F28" s="67">
        <v>0.9</v>
      </c>
      <c r="G28" s="68">
        <f>$G27</f>
        <v>42.164888888888889</v>
      </c>
      <c r="H28" s="9">
        <f t="shared" si="11"/>
        <v>2.0712504367751698</v>
      </c>
      <c r="I28" s="67">
        <v>11</v>
      </c>
      <c r="J28" s="67">
        <v>0.85</v>
      </c>
      <c r="K28" s="67">
        <v>5000</v>
      </c>
      <c r="L28" s="67">
        <v>1260</v>
      </c>
      <c r="M28" s="67">
        <v>44.7</v>
      </c>
      <c r="N28" s="67">
        <f>$N27</f>
        <v>1.865</v>
      </c>
      <c r="O28" s="67">
        <f t="shared" si="10"/>
        <v>83.365500000000011</v>
      </c>
      <c r="P28" s="10">
        <f t="shared" si="12"/>
        <v>10083.22371721003</v>
      </c>
      <c r="Q28" s="68">
        <f t="shared" si="13"/>
        <v>31.579260349100174</v>
      </c>
      <c r="R28" s="69">
        <f t="shared" si="14"/>
        <v>4.5062509362635367E-2</v>
      </c>
    </row>
    <row r="29" spans="1:18" ht="16" customHeight="1">
      <c r="A29" s="6" t="s">
        <v>40</v>
      </c>
      <c r="B29" s="7">
        <v>8.1287291967291964</v>
      </c>
      <c r="C29" s="7">
        <v>313.96431999999993</v>
      </c>
      <c r="D29" s="8">
        <v>49.808832267557023</v>
      </c>
      <c r="E29" s="8">
        <v>29.911585365853657</v>
      </c>
      <c r="F29" s="67">
        <v>0.9</v>
      </c>
      <c r="G29" s="68">
        <f>$G28</f>
        <v>42.164888888888889</v>
      </c>
      <c r="H29" s="9">
        <f t="shared" si="11"/>
        <v>1.3073184322193445</v>
      </c>
      <c r="I29" s="67">
        <v>11</v>
      </c>
      <c r="J29" s="67">
        <v>0.85</v>
      </c>
      <c r="K29" s="67">
        <v>5000</v>
      </c>
      <c r="L29" s="67">
        <v>1270</v>
      </c>
      <c r="M29" s="67">
        <v>44.7</v>
      </c>
      <c r="N29" s="67">
        <f>$N28</f>
        <v>1.865</v>
      </c>
      <c r="O29" s="67">
        <f t="shared" si="10"/>
        <v>83.365500000000011</v>
      </c>
      <c r="P29" s="10">
        <f t="shared" si="12"/>
        <v>6414.7738526399189</v>
      </c>
      <c r="Q29" s="68">
        <f t="shared" si="13"/>
        <v>24.166184498738964</v>
      </c>
      <c r="R29" s="69">
        <f t="shared" si="14"/>
        <v>3.448430720653748E-2</v>
      </c>
    </row>
    <row r="30" spans="1:18" s="1" customFormat="1" ht="16" customHeight="1">
      <c r="D30" s="19"/>
      <c r="F30" s="19"/>
      <c r="P30" s="41" t="s">
        <v>59</v>
      </c>
      <c r="Q30" s="42">
        <f>AVERAGE(Q25:Q29)</f>
        <v>26.869030929254883</v>
      </c>
      <c r="R30" s="43">
        <f>AVERAGE(R25:R29)</f>
        <v>3.8341175329300821E-2</v>
      </c>
    </row>
    <row r="32" spans="1:18" ht="16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</row>
    <row r="33" spans="1:18" s="1" customFormat="1" ht="41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82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8" ht="16" customHeight="1">
      <c r="A34" s="6" t="s">
        <v>39</v>
      </c>
      <c r="B34" s="7">
        <v>7.6775522001425616</v>
      </c>
      <c r="C34" s="7">
        <v>481.90532530120498</v>
      </c>
      <c r="D34" s="66">
        <v>58.84782580359245</v>
      </c>
      <c r="E34" s="66">
        <v>27.664150943396226</v>
      </c>
      <c r="F34" s="67">
        <v>0.9</v>
      </c>
      <c r="G34" s="68">
        <f>'Summary N2O from residue'!H12*1000</f>
        <v>52.369333333333337</v>
      </c>
      <c r="H34" s="9">
        <f>D34*100/(3000*L34/1000)</f>
        <v>1.58193080117184</v>
      </c>
      <c r="I34" s="67">
        <v>11</v>
      </c>
      <c r="J34" s="67">
        <v>0.85</v>
      </c>
      <c r="K34" s="67">
        <v>5000</v>
      </c>
      <c r="L34" s="67">
        <v>1240</v>
      </c>
      <c r="M34" s="67">
        <v>44.7</v>
      </c>
      <c r="N34" s="67">
        <f>N25</f>
        <v>1.865</v>
      </c>
      <c r="O34" s="67">
        <f t="shared" ref="O34:O38" si="15">M34*N34</f>
        <v>83.365500000000011</v>
      </c>
      <c r="P34" s="10">
        <f>((H34/100)*K34*L34)/I34*J34</f>
        <v>7578.8866565232702</v>
      </c>
      <c r="Q34" s="68">
        <f>(21.37+(C34/(E34*F34))*((0.0037*G34)+(0.0000601*P34)-(0.00362*O34)))</f>
        <v>28.095503815311947</v>
      </c>
      <c r="R34" s="69">
        <f>(44/28)*0.0075*(14/62)*Q34/N34</f>
        <v>4.009130960413794E-2</v>
      </c>
    </row>
    <row r="35" spans="1:18" ht="16" customHeight="1">
      <c r="A35" s="6" t="s">
        <v>38</v>
      </c>
      <c r="B35" s="7">
        <v>8.8453014076508083</v>
      </c>
      <c r="C35" s="7">
        <v>447.24197590361433</v>
      </c>
      <c r="D35" s="66">
        <v>46.819510866991834</v>
      </c>
      <c r="E35" s="66">
        <v>38.928571428571431</v>
      </c>
      <c r="F35" s="67">
        <v>0.9</v>
      </c>
      <c r="G35" s="68">
        <f>$G34</f>
        <v>52.369333333333337</v>
      </c>
      <c r="H35" s="9">
        <f t="shared" ref="H35:H38" si="16">D35*100/(3000*L35/1000)</f>
        <v>1.2585890018008556</v>
      </c>
      <c r="I35" s="67">
        <v>11</v>
      </c>
      <c r="J35" s="67">
        <v>0.85</v>
      </c>
      <c r="K35" s="67">
        <v>5000</v>
      </c>
      <c r="L35" s="67">
        <v>1240</v>
      </c>
      <c r="M35" s="67">
        <v>44.7</v>
      </c>
      <c r="N35" s="67">
        <f>$N34</f>
        <v>1.865</v>
      </c>
      <c r="O35" s="67">
        <f t="shared" si="15"/>
        <v>83.365500000000011</v>
      </c>
      <c r="P35" s="10">
        <f t="shared" ref="P35:P38" si="17">((H35/100)*K35*L35)/I35*J35</f>
        <v>6029.7854904459182</v>
      </c>
      <c r="Q35" s="68">
        <f t="shared" ref="Q35:Q38" si="18">(21.37+(C35/(E35*F35))*((0.0037*G35)+(0.0000601*P35)-(0.00362*O35)))</f>
        <v>24.617158594584858</v>
      </c>
      <c r="R35" s="69">
        <f t="shared" ref="R35:R38" si="19">(44/28)*0.0075*(14/62)*Q35/N35</f>
        <v>3.5127831601716689E-2</v>
      </c>
    </row>
    <row r="36" spans="1:18" ht="16" customHeight="1">
      <c r="A36" s="6" t="s">
        <v>37</v>
      </c>
      <c r="B36" s="7">
        <v>6.804890709260631</v>
      </c>
      <c r="C36" s="7">
        <v>448.31929268292657</v>
      </c>
      <c r="D36" s="66">
        <v>61.812721333496135</v>
      </c>
      <c r="E36" s="66">
        <v>28.921052631578949</v>
      </c>
      <c r="F36" s="67">
        <v>0.9</v>
      </c>
      <c r="G36" s="68">
        <f>$G35</f>
        <v>52.369333333333337</v>
      </c>
      <c r="H36" s="9">
        <f t="shared" si="16"/>
        <v>1.6751414995527409</v>
      </c>
      <c r="I36" s="67">
        <v>11</v>
      </c>
      <c r="J36" s="67">
        <v>0.85</v>
      </c>
      <c r="K36" s="67">
        <v>5000</v>
      </c>
      <c r="L36" s="67">
        <v>1230</v>
      </c>
      <c r="M36" s="67">
        <v>44.7</v>
      </c>
      <c r="N36" s="67">
        <f>$N35</f>
        <v>1.865</v>
      </c>
      <c r="O36" s="67">
        <f t="shared" si="15"/>
        <v>83.365500000000011</v>
      </c>
      <c r="P36" s="10">
        <f t="shared" si="17"/>
        <v>7960.729262647229</v>
      </c>
      <c r="Q36" s="68">
        <f t="shared" si="18"/>
        <v>27.750123175464651</v>
      </c>
      <c r="R36" s="69">
        <f t="shared" si="19"/>
        <v>3.9598463408731875E-2</v>
      </c>
    </row>
    <row r="37" spans="1:18" ht="16" customHeight="1">
      <c r="A37" s="6" t="s">
        <v>41</v>
      </c>
      <c r="B37" s="7">
        <v>7.3335437710437699</v>
      </c>
      <c r="C37" s="7">
        <v>449.01126086956515</v>
      </c>
      <c r="D37" s="66">
        <v>78.293266510101418</v>
      </c>
      <c r="E37" s="66">
        <v>22.490243902439026</v>
      </c>
      <c r="F37" s="67">
        <v>0.9</v>
      </c>
      <c r="G37" s="68">
        <f>$G36</f>
        <v>52.369333333333337</v>
      </c>
      <c r="H37" s="9">
        <f t="shared" si="16"/>
        <v>2.0712504367751698</v>
      </c>
      <c r="I37" s="67">
        <v>11</v>
      </c>
      <c r="J37" s="67">
        <v>0.85</v>
      </c>
      <c r="K37" s="67">
        <v>5000</v>
      </c>
      <c r="L37" s="67">
        <v>1260</v>
      </c>
      <c r="M37" s="67">
        <v>44.7</v>
      </c>
      <c r="N37" s="67">
        <f>$N36</f>
        <v>1.865</v>
      </c>
      <c r="O37" s="67">
        <f t="shared" si="15"/>
        <v>83.365500000000011</v>
      </c>
      <c r="P37" s="10">
        <f t="shared" si="17"/>
        <v>10083.22371721003</v>
      </c>
      <c r="Q37" s="68">
        <f t="shared" si="18"/>
        <v>32.416812094227865</v>
      </c>
      <c r="R37" s="69">
        <f t="shared" si="19"/>
        <v>4.625766665698864E-2</v>
      </c>
    </row>
    <row r="38" spans="1:18" ht="16" customHeight="1">
      <c r="A38" s="6" t="s">
        <v>40</v>
      </c>
      <c r="B38" s="7">
        <v>8.1287291967291964</v>
      </c>
      <c r="C38" s="7">
        <v>313.96431999999993</v>
      </c>
      <c r="D38" s="8">
        <v>49.808832267557023</v>
      </c>
      <c r="E38" s="8">
        <v>29.911585365853657</v>
      </c>
      <c r="F38" s="67">
        <v>0.9</v>
      </c>
      <c r="G38" s="68">
        <f>$G37</f>
        <v>52.369333333333337</v>
      </c>
      <c r="H38" s="9">
        <f t="shared" si="16"/>
        <v>1.3073184322193445</v>
      </c>
      <c r="I38" s="67">
        <v>11</v>
      </c>
      <c r="J38" s="67">
        <v>0.85</v>
      </c>
      <c r="K38" s="67">
        <v>5000</v>
      </c>
      <c r="L38" s="67">
        <v>1270</v>
      </c>
      <c r="M38" s="67">
        <v>44.7</v>
      </c>
      <c r="N38" s="67">
        <f>$N37</f>
        <v>1.865</v>
      </c>
      <c r="O38" s="67">
        <f t="shared" si="15"/>
        <v>83.365500000000011</v>
      </c>
      <c r="P38" s="10">
        <f t="shared" si="17"/>
        <v>6414.7738526399189</v>
      </c>
      <c r="Q38" s="68">
        <f t="shared" si="18"/>
        <v>24.606525823220853</v>
      </c>
      <c r="R38" s="69">
        <f t="shared" si="19"/>
        <v>3.5112659005720318E-2</v>
      </c>
    </row>
    <row r="39" spans="1:18" s="1" customFormat="1" ht="16" customHeight="1">
      <c r="D39" s="19"/>
      <c r="F39" s="19"/>
      <c r="P39" s="41" t="s">
        <v>59</v>
      </c>
      <c r="Q39" s="42">
        <f>AVERAGE(Q34:Q38)</f>
        <v>27.497224700562036</v>
      </c>
      <c r="R39" s="43">
        <f>AVERAGE(R34:R38)</f>
        <v>3.9237586055459094E-2</v>
      </c>
    </row>
    <row r="41" spans="1:18" ht="16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18" s="1" customFormat="1" ht="41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82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8" ht="16" customHeight="1">
      <c r="A43" s="6" t="s">
        <v>39</v>
      </c>
      <c r="B43" s="7">
        <v>7.6775522001425616</v>
      </c>
      <c r="C43" s="7">
        <v>481.90532530120498</v>
      </c>
      <c r="D43" s="66">
        <v>58.84782580359245</v>
      </c>
      <c r="E43" s="66">
        <v>27.664150943396226</v>
      </c>
      <c r="F43" s="67">
        <v>0.9</v>
      </c>
      <c r="G43" s="68">
        <f>'Summary N2O from residue'!H13*1000</f>
        <v>53.716444444444434</v>
      </c>
      <c r="H43" s="9">
        <f>D43*100/(3000*L43/1000)</f>
        <v>1.58193080117184</v>
      </c>
      <c r="I43" s="67">
        <v>11</v>
      </c>
      <c r="J43" s="67">
        <v>0.85</v>
      </c>
      <c r="K43" s="67">
        <v>5000</v>
      </c>
      <c r="L43" s="67">
        <v>1240</v>
      </c>
      <c r="M43" s="67">
        <v>44.7</v>
      </c>
      <c r="N43" s="67">
        <f>N34</f>
        <v>1.865</v>
      </c>
      <c r="O43" s="67">
        <f t="shared" ref="O43:O47" si="20">M43*N43</f>
        <v>83.365500000000011</v>
      </c>
      <c r="P43" s="10">
        <f>((H43/100)*K43*L43)/I43*J43</f>
        <v>7578.8866565232702</v>
      </c>
      <c r="Q43" s="68">
        <f>(21.37+(C43/(E43*F43))*((0.0037*G43)+(0.0000601*P43)-(0.00362*O43)))</f>
        <v>28.191977088302085</v>
      </c>
      <c r="R43" s="69">
        <f>(44/28)*0.0075*(14/62)*Q43/N43</f>
        <v>4.0228973619042145E-2</v>
      </c>
    </row>
    <row r="44" spans="1:18" ht="16" customHeight="1">
      <c r="A44" s="6" t="s">
        <v>38</v>
      </c>
      <c r="B44" s="7">
        <v>8.8453014076508083</v>
      </c>
      <c r="C44" s="7">
        <v>447.24197590361433</v>
      </c>
      <c r="D44" s="66">
        <v>46.819510866991834</v>
      </c>
      <c r="E44" s="66">
        <v>38.928571428571431</v>
      </c>
      <c r="F44" s="67">
        <v>0.9</v>
      </c>
      <c r="G44" s="68">
        <f>$G43</f>
        <v>53.716444444444434</v>
      </c>
      <c r="H44" s="9">
        <f t="shared" ref="H44:H47" si="21">D44*100/(3000*L44/1000)</f>
        <v>1.2585890018008556</v>
      </c>
      <c r="I44" s="67">
        <v>11</v>
      </c>
      <c r="J44" s="67">
        <v>0.85</v>
      </c>
      <c r="K44" s="67">
        <v>5000</v>
      </c>
      <c r="L44" s="67">
        <v>1240</v>
      </c>
      <c r="M44" s="67">
        <v>44.7</v>
      </c>
      <c r="N44" s="67">
        <f>$N43</f>
        <v>1.865</v>
      </c>
      <c r="O44" s="67">
        <f t="shared" si="20"/>
        <v>83.365500000000011</v>
      </c>
      <c r="P44" s="10">
        <f t="shared" ref="P44:P47" si="22">((H44/100)*K44*L44)/I44*J44</f>
        <v>6029.7854904459182</v>
      </c>
      <c r="Q44" s="68">
        <f t="shared" ref="Q44:Q47" si="23">(21.37+(C44/(E44*F44))*((0.0037*G44)+(0.0000601*P44)-(0.00362*O44)))</f>
        <v>24.680784902633629</v>
      </c>
      <c r="R44" s="69">
        <f t="shared" ref="R44:R47" si="24">(44/28)*0.0075*(14/62)*Q44/N44</f>
        <v>3.5218624136768552E-2</v>
      </c>
    </row>
    <row r="45" spans="1:18" ht="16" customHeight="1">
      <c r="A45" s="6" t="s">
        <v>37</v>
      </c>
      <c r="B45" s="7">
        <v>6.804890709260631</v>
      </c>
      <c r="C45" s="7">
        <v>448.31929268292657</v>
      </c>
      <c r="D45" s="66">
        <v>61.812721333496135</v>
      </c>
      <c r="E45" s="66">
        <v>28.921052631578949</v>
      </c>
      <c r="F45" s="67">
        <v>0.9</v>
      </c>
      <c r="G45" s="68">
        <f>$G44</f>
        <v>53.716444444444434</v>
      </c>
      <c r="H45" s="9">
        <f t="shared" si="21"/>
        <v>1.6751414995527409</v>
      </c>
      <c r="I45" s="67">
        <v>11</v>
      </c>
      <c r="J45" s="67">
        <v>0.85</v>
      </c>
      <c r="K45" s="67">
        <v>5000</v>
      </c>
      <c r="L45" s="67">
        <v>1230</v>
      </c>
      <c r="M45" s="67">
        <v>44.7</v>
      </c>
      <c r="N45" s="67">
        <f>$N44</f>
        <v>1.865</v>
      </c>
      <c r="O45" s="67">
        <f t="shared" si="20"/>
        <v>83.365500000000011</v>
      </c>
      <c r="P45" s="10">
        <f t="shared" si="22"/>
        <v>7960.729262647229</v>
      </c>
      <c r="Q45" s="68">
        <f t="shared" si="23"/>
        <v>27.835972318736424</v>
      </c>
      <c r="R45" s="69">
        <f t="shared" si="24"/>
        <v>3.9720967158968341E-2</v>
      </c>
    </row>
    <row r="46" spans="1:18" ht="16" customHeight="1">
      <c r="A46" s="6" t="s">
        <v>41</v>
      </c>
      <c r="B46" s="7">
        <v>7.3335437710437699</v>
      </c>
      <c r="C46" s="7">
        <v>449.01126086956515</v>
      </c>
      <c r="D46" s="66">
        <v>78.293266510101418</v>
      </c>
      <c r="E46" s="66">
        <v>22.490243902439026</v>
      </c>
      <c r="F46" s="67">
        <v>0.9</v>
      </c>
      <c r="G46" s="68">
        <f>$G45</f>
        <v>53.716444444444434</v>
      </c>
      <c r="H46" s="9">
        <f t="shared" si="21"/>
        <v>2.0712504367751698</v>
      </c>
      <c r="I46" s="67">
        <v>11</v>
      </c>
      <c r="J46" s="67">
        <v>0.85</v>
      </c>
      <c r="K46" s="67">
        <v>5000</v>
      </c>
      <c r="L46" s="67">
        <v>1260</v>
      </c>
      <c r="M46" s="67">
        <v>44.7</v>
      </c>
      <c r="N46" s="67">
        <f>$N45</f>
        <v>1.865</v>
      </c>
      <c r="O46" s="67">
        <f t="shared" si="20"/>
        <v>83.365500000000011</v>
      </c>
      <c r="P46" s="10">
        <f t="shared" si="22"/>
        <v>10083.22371721003</v>
      </c>
      <c r="Q46" s="68">
        <f t="shared" si="23"/>
        <v>32.527379138630394</v>
      </c>
      <c r="R46" s="69">
        <f t="shared" si="24"/>
        <v>4.6415441994932236E-2</v>
      </c>
    </row>
    <row r="47" spans="1:18" ht="16" customHeight="1">
      <c r="A47" s="6" t="s">
        <v>40</v>
      </c>
      <c r="B47" s="7">
        <v>8.1287291967291964</v>
      </c>
      <c r="C47" s="7">
        <v>313.96431999999993</v>
      </c>
      <c r="D47" s="8">
        <v>49.808832267557023</v>
      </c>
      <c r="E47" s="8">
        <v>29.911585365853657</v>
      </c>
      <c r="F47" s="67">
        <v>0.9</v>
      </c>
      <c r="G47" s="68">
        <f>$G46</f>
        <v>53.716444444444434</v>
      </c>
      <c r="H47" s="9">
        <f t="shared" si="21"/>
        <v>1.3073184322193445</v>
      </c>
      <c r="I47" s="67">
        <v>11</v>
      </c>
      <c r="J47" s="67">
        <v>0.85</v>
      </c>
      <c r="K47" s="67">
        <v>5000</v>
      </c>
      <c r="L47" s="67">
        <v>1270</v>
      </c>
      <c r="M47" s="67">
        <v>44.7</v>
      </c>
      <c r="N47" s="67">
        <f>$N46</f>
        <v>1.865</v>
      </c>
      <c r="O47" s="67">
        <f t="shared" si="20"/>
        <v>83.365500000000011</v>
      </c>
      <c r="P47" s="10">
        <f t="shared" si="22"/>
        <v>6414.7738526399189</v>
      </c>
      <c r="Q47" s="68">
        <f t="shared" si="23"/>
        <v>24.664656248068614</v>
      </c>
      <c r="R47" s="69">
        <f t="shared" si="24"/>
        <v>3.519560910603927E-2</v>
      </c>
    </row>
    <row r="48" spans="1:18" s="1" customFormat="1" ht="16" customHeight="1">
      <c r="D48" s="19"/>
      <c r="F48" s="19"/>
      <c r="P48" s="41" t="s">
        <v>59</v>
      </c>
      <c r="Q48" s="42">
        <f>AVERAGE(Q43:Q47)</f>
        <v>27.580153939274233</v>
      </c>
      <c r="R48" s="43">
        <f>AVERAGE(R43:R47)</f>
        <v>3.9355923203150109E-2</v>
      </c>
    </row>
    <row r="49" spans="1:18" ht="16" customHeight="1">
      <c r="B49" s="33"/>
    </row>
    <row r="50" spans="1:18" ht="16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8" s="1" customFormat="1" ht="41" customHeight="1">
      <c r="A51" s="4" t="s">
        <v>28</v>
      </c>
      <c r="B51" s="4" t="s">
        <v>98</v>
      </c>
      <c r="C51" s="4" t="s">
        <v>79</v>
      </c>
      <c r="D51" s="4" t="s">
        <v>80</v>
      </c>
      <c r="E51" s="4" t="s">
        <v>123</v>
      </c>
      <c r="F51" s="4" t="s">
        <v>81</v>
      </c>
      <c r="G51" s="4" t="s">
        <v>99</v>
      </c>
      <c r="H51" s="4" t="s">
        <v>124</v>
      </c>
      <c r="I51" s="5" t="s">
        <v>125</v>
      </c>
      <c r="J51" s="4" t="s">
        <v>126</v>
      </c>
      <c r="K51" s="4" t="s">
        <v>127</v>
      </c>
      <c r="L51" s="4" t="s">
        <v>129</v>
      </c>
      <c r="M51" s="4" t="s">
        <v>82</v>
      </c>
      <c r="N51" s="4" t="s">
        <v>83</v>
      </c>
      <c r="O51" s="4" t="s">
        <v>84</v>
      </c>
      <c r="P51" s="4" t="s">
        <v>128</v>
      </c>
      <c r="Q51" s="4" t="s">
        <v>85</v>
      </c>
      <c r="R51" s="4" t="s">
        <v>122</v>
      </c>
    </row>
    <row r="52" spans="1:18" ht="16" customHeight="1">
      <c r="A52" s="1" t="s">
        <v>39</v>
      </c>
      <c r="B52" s="30">
        <v>7.6775522001425616</v>
      </c>
      <c r="C52" s="30">
        <v>481.90532530120498</v>
      </c>
      <c r="D52" s="54">
        <v>58.84782580359245</v>
      </c>
      <c r="E52" s="54">
        <v>27.664150943396226</v>
      </c>
      <c r="F52" s="50">
        <v>0.9</v>
      </c>
      <c r="G52" s="55">
        <f>'Summary N2O from residue'!H14*1000</f>
        <v>63.920888888888889</v>
      </c>
      <c r="H52" s="24">
        <f>D52*100/(3000*L52/1000)</f>
        <v>1.58193080117184</v>
      </c>
      <c r="I52" s="50">
        <v>11</v>
      </c>
      <c r="J52" s="50">
        <v>0.85</v>
      </c>
      <c r="K52" s="50">
        <v>5000</v>
      </c>
      <c r="L52" s="50">
        <v>1240</v>
      </c>
      <c r="M52" s="50">
        <v>44.7</v>
      </c>
      <c r="N52" s="50">
        <f>N43</f>
        <v>1.865</v>
      </c>
      <c r="O52" s="50">
        <f t="shared" ref="O52:O56" si="25">M52*N52</f>
        <v>83.365500000000011</v>
      </c>
      <c r="P52" s="25">
        <f>((H52/100)*K52*L52)/I52*J52</f>
        <v>7578.8866565232702</v>
      </c>
      <c r="Q52" s="55">
        <f>(21.37+(C52/(E52*F52))*((0.0037*G52)+(0.0000601*P52)-(0.00362*O52)))</f>
        <v>28.922767701252795</v>
      </c>
      <c r="R52" s="56">
        <f>(44/28)*0.0075*(14/62)*Q52/N52</f>
        <v>4.1271786480210237E-2</v>
      </c>
    </row>
    <row r="53" spans="1:18" ht="16" customHeight="1">
      <c r="A53" s="1" t="s">
        <v>38</v>
      </c>
      <c r="B53" s="30">
        <v>8.8453014076508083</v>
      </c>
      <c r="C53" s="30">
        <v>447.24197590361433</v>
      </c>
      <c r="D53" s="54">
        <v>46.819510866991834</v>
      </c>
      <c r="E53" s="54">
        <v>38.928571428571431</v>
      </c>
      <c r="F53" s="50">
        <v>0.9</v>
      </c>
      <c r="G53" s="55">
        <f>$G52</f>
        <v>63.920888888888889</v>
      </c>
      <c r="H53" s="24">
        <f t="shared" ref="H53:H56" si="26">D53*100/(3000*L53/1000)</f>
        <v>1.2585890018008556</v>
      </c>
      <c r="I53" s="50">
        <v>11</v>
      </c>
      <c r="J53" s="50">
        <v>0.85</v>
      </c>
      <c r="K53" s="50">
        <v>5000</v>
      </c>
      <c r="L53" s="50">
        <v>1240</v>
      </c>
      <c r="M53" s="50">
        <v>44.7</v>
      </c>
      <c r="N53" s="50">
        <f>$N52</f>
        <v>1.865</v>
      </c>
      <c r="O53" s="50">
        <f t="shared" si="25"/>
        <v>83.365500000000011</v>
      </c>
      <c r="P53" s="25">
        <f t="shared" ref="P53:P56" si="27">((H53/100)*K53*L53)/I53*J53</f>
        <v>6029.7854904459182</v>
      </c>
      <c r="Q53" s="55">
        <f t="shared" ref="Q53:Q56" si="28">(21.37+(C53/(E53*F53))*((0.0037*G53)+(0.0000601*P53)-(0.00362*O53)))</f>
        <v>25.162757859677455</v>
      </c>
      <c r="R53" s="56">
        <f t="shared" ref="R53:R56" si="29">(44/28)*0.0075*(14/62)*Q53/N53</f>
        <v>3.5906382831849687E-2</v>
      </c>
    </row>
    <row r="54" spans="1:18" ht="16" customHeight="1">
      <c r="A54" s="1" t="s">
        <v>37</v>
      </c>
      <c r="B54" s="30">
        <v>6.804890709260631</v>
      </c>
      <c r="C54" s="30">
        <v>448.31929268292657</v>
      </c>
      <c r="D54" s="54">
        <v>61.812721333496135</v>
      </c>
      <c r="E54" s="54">
        <v>28.921052631578949</v>
      </c>
      <c r="F54" s="50">
        <v>0.9</v>
      </c>
      <c r="G54" s="55">
        <f>$G53</f>
        <v>63.920888888888889</v>
      </c>
      <c r="H54" s="24">
        <f t="shared" si="26"/>
        <v>1.6751414995527409</v>
      </c>
      <c r="I54" s="50">
        <v>11</v>
      </c>
      <c r="J54" s="50">
        <v>0.85</v>
      </c>
      <c r="K54" s="50">
        <v>5000</v>
      </c>
      <c r="L54" s="50">
        <v>1230</v>
      </c>
      <c r="M54" s="50">
        <v>44.7</v>
      </c>
      <c r="N54" s="50">
        <f>$N53</f>
        <v>1.865</v>
      </c>
      <c r="O54" s="50">
        <f t="shared" si="25"/>
        <v>83.365500000000011</v>
      </c>
      <c r="P54" s="25">
        <f t="shared" si="27"/>
        <v>7960.729262647229</v>
      </c>
      <c r="Q54" s="55">
        <f t="shared" si="28"/>
        <v>28.486284535668087</v>
      </c>
      <c r="R54" s="56">
        <f t="shared" si="29"/>
        <v>4.0648940139974346E-2</v>
      </c>
    </row>
    <row r="55" spans="1:18" ht="16" customHeight="1">
      <c r="A55" s="1" t="s">
        <v>41</v>
      </c>
      <c r="B55" s="30">
        <v>7.3335437710437699</v>
      </c>
      <c r="C55" s="30">
        <v>449.01126086956515</v>
      </c>
      <c r="D55" s="54">
        <v>78.293266510101418</v>
      </c>
      <c r="E55" s="54">
        <v>22.490243902439026</v>
      </c>
      <c r="F55" s="50">
        <v>0.9</v>
      </c>
      <c r="G55" s="55">
        <f>$G54</f>
        <v>63.920888888888889</v>
      </c>
      <c r="H55" s="24">
        <f t="shared" si="26"/>
        <v>2.0712504367751698</v>
      </c>
      <c r="I55" s="50">
        <v>11</v>
      </c>
      <c r="J55" s="50">
        <v>0.85</v>
      </c>
      <c r="K55" s="50">
        <v>5000</v>
      </c>
      <c r="L55" s="50">
        <v>1260</v>
      </c>
      <c r="M55" s="50">
        <v>44.7</v>
      </c>
      <c r="N55" s="50">
        <f>$N54</f>
        <v>1.865</v>
      </c>
      <c r="O55" s="50">
        <f t="shared" si="25"/>
        <v>83.365500000000011</v>
      </c>
      <c r="P55" s="25">
        <f t="shared" si="27"/>
        <v>10083.22371721003</v>
      </c>
      <c r="Q55" s="55">
        <f t="shared" si="28"/>
        <v>33.364930883758085</v>
      </c>
      <c r="R55" s="56">
        <f t="shared" si="29"/>
        <v>4.7610599289285502E-2</v>
      </c>
    </row>
    <row r="56" spans="1:18" ht="16" customHeight="1">
      <c r="A56" s="1" t="s">
        <v>40</v>
      </c>
      <c r="B56" s="30">
        <v>8.1287291967291964</v>
      </c>
      <c r="C56" s="30">
        <v>313.96431999999993</v>
      </c>
      <c r="D56" s="23">
        <v>49.808832267557023</v>
      </c>
      <c r="E56" s="23">
        <v>29.911585365853657</v>
      </c>
      <c r="F56" s="50">
        <v>0.9</v>
      </c>
      <c r="G56" s="55">
        <f>$G55</f>
        <v>63.920888888888889</v>
      </c>
      <c r="H56" s="24">
        <f t="shared" si="26"/>
        <v>1.3073184322193445</v>
      </c>
      <c r="I56" s="50">
        <v>11</v>
      </c>
      <c r="J56" s="50">
        <v>0.85</v>
      </c>
      <c r="K56" s="50">
        <v>5000</v>
      </c>
      <c r="L56" s="50">
        <v>1270</v>
      </c>
      <c r="M56" s="50">
        <v>44.7</v>
      </c>
      <c r="N56" s="50">
        <f>$N55</f>
        <v>1.865</v>
      </c>
      <c r="O56" s="50">
        <f t="shared" si="25"/>
        <v>83.365500000000011</v>
      </c>
      <c r="P56" s="25">
        <f t="shared" si="27"/>
        <v>6414.7738526399189</v>
      </c>
      <c r="Q56" s="55">
        <f t="shared" si="28"/>
        <v>25.104997572550502</v>
      </c>
      <c r="R56" s="56">
        <f t="shared" si="29"/>
        <v>3.5823960905222108E-2</v>
      </c>
    </row>
    <row r="57" spans="1:18" s="1" customFormat="1" ht="16" customHeight="1">
      <c r="D57" s="19"/>
      <c r="F57" s="19"/>
      <c r="P57" s="41" t="s">
        <v>59</v>
      </c>
      <c r="Q57" s="42">
        <f>AVERAGE(Q52:Q56)</f>
        <v>28.208347710581386</v>
      </c>
      <c r="R57" s="43">
        <f>AVERAGE(R52:R56)</f>
        <v>4.0252333929308375E-2</v>
      </c>
    </row>
    <row r="59" spans="1:18" ht="16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8" s="1" customFormat="1" ht="41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82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6" customHeight="1">
      <c r="A61" s="6" t="s">
        <v>39</v>
      </c>
      <c r="B61" s="7">
        <v>7.6775522001425616</v>
      </c>
      <c r="C61" s="7">
        <v>481.90532530120498</v>
      </c>
      <c r="D61" s="66">
        <v>58.84782580359245</v>
      </c>
      <c r="E61" s="66">
        <v>27.664150943396226</v>
      </c>
      <c r="F61" s="67">
        <v>0.9</v>
      </c>
      <c r="G61" s="68">
        <f>'Summary N2O from residue'!H15*1000</f>
        <v>74.12533333333333</v>
      </c>
      <c r="H61" s="9">
        <f>D61*100/(3000*L61/1000)</f>
        <v>1.58193080117184</v>
      </c>
      <c r="I61" s="67">
        <v>11</v>
      </c>
      <c r="J61" s="67">
        <v>0.85</v>
      </c>
      <c r="K61" s="67">
        <v>5000</v>
      </c>
      <c r="L61" s="67">
        <v>1240</v>
      </c>
      <c r="M61" s="67">
        <v>44.7</v>
      </c>
      <c r="N61" s="67">
        <f>N52</f>
        <v>1.865</v>
      </c>
      <c r="O61" s="67">
        <f t="shared" ref="O61:O65" si="30">M61*N61</f>
        <v>83.365500000000011</v>
      </c>
      <c r="P61" s="10">
        <f>((H61/100)*K61*L61)/I61*J61</f>
        <v>7578.8866565232702</v>
      </c>
      <c r="Q61" s="68">
        <f>(21.37+(C61/(E61*F61))*((0.0037*G61)+(0.0000601*P61)-(0.00362*O61)))</f>
        <v>29.653558314203501</v>
      </c>
      <c r="R61" s="69">
        <f>(44/28)*0.0075*(14/62)*Q61/N61</f>
        <v>4.2314599341378337E-2</v>
      </c>
    </row>
    <row r="62" spans="1:18" ht="16" customHeight="1">
      <c r="A62" s="6" t="s">
        <v>38</v>
      </c>
      <c r="B62" s="7">
        <v>8.8453014076508083</v>
      </c>
      <c r="C62" s="7">
        <v>447.24197590361433</v>
      </c>
      <c r="D62" s="66">
        <v>46.819510866991834</v>
      </c>
      <c r="E62" s="66">
        <v>38.928571428571431</v>
      </c>
      <c r="F62" s="67">
        <v>0.9</v>
      </c>
      <c r="G62" s="68">
        <f>$G61</f>
        <v>74.12533333333333</v>
      </c>
      <c r="H62" s="9">
        <f t="shared" ref="H62:H65" si="31">D62*100/(3000*L62/1000)</f>
        <v>1.2585890018008556</v>
      </c>
      <c r="I62" s="67">
        <v>11</v>
      </c>
      <c r="J62" s="67">
        <v>0.85</v>
      </c>
      <c r="K62" s="67">
        <v>5000</v>
      </c>
      <c r="L62" s="67">
        <v>1240</v>
      </c>
      <c r="M62" s="67">
        <v>44.7</v>
      </c>
      <c r="N62" s="67">
        <f>$N61</f>
        <v>1.865</v>
      </c>
      <c r="O62" s="67">
        <f t="shared" si="30"/>
        <v>83.365500000000011</v>
      </c>
      <c r="P62" s="10">
        <f t="shared" ref="P62:P65" si="32">((H62/100)*K62*L62)/I62*J62</f>
        <v>6029.7854904459182</v>
      </c>
      <c r="Q62" s="68">
        <f t="shared" ref="Q62:Q65" si="33">(21.37+(C62/(E62*F62))*((0.0037*G62)+(0.0000601*P62)-(0.00362*O62)))</f>
        <v>25.644730816721282</v>
      </c>
      <c r="R62" s="69">
        <f t="shared" ref="R62:R65" si="34">(44/28)*0.0075*(14/62)*Q62/N62</f>
        <v>3.6594141526930815E-2</v>
      </c>
    </row>
    <row r="63" spans="1:18" ht="16" customHeight="1">
      <c r="A63" s="6" t="s">
        <v>37</v>
      </c>
      <c r="B63" s="7">
        <v>6.804890709260631</v>
      </c>
      <c r="C63" s="7">
        <v>448.31929268292657</v>
      </c>
      <c r="D63" s="66">
        <v>61.812721333496135</v>
      </c>
      <c r="E63" s="66">
        <v>28.921052631578949</v>
      </c>
      <c r="F63" s="67">
        <v>0.9</v>
      </c>
      <c r="G63" s="68">
        <f>$G62</f>
        <v>74.12533333333333</v>
      </c>
      <c r="H63" s="9">
        <f t="shared" si="31"/>
        <v>1.6751414995527409</v>
      </c>
      <c r="I63" s="67">
        <v>11</v>
      </c>
      <c r="J63" s="67">
        <v>0.85</v>
      </c>
      <c r="K63" s="67">
        <v>5000</v>
      </c>
      <c r="L63" s="67">
        <v>1230</v>
      </c>
      <c r="M63" s="67">
        <v>44.7</v>
      </c>
      <c r="N63" s="67">
        <f>$N62</f>
        <v>1.865</v>
      </c>
      <c r="O63" s="67">
        <f t="shared" si="30"/>
        <v>83.365500000000011</v>
      </c>
      <c r="P63" s="10">
        <f t="shared" si="32"/>
        <v>7960.729262647229</v>
      </c>
      <c r="Q63" s="68">
        <f t="shared" si="33"/>
        <v>29.136596752599754</v>
      </c>
      <c r="R63" s="69">
        <f t="shared" si="34"/>
        <v>4.1576913120980351E-2</v>
      </c>
    </row>
    <row r="64" spans="1:18" ht="16" customHeight="1">
      <c r="A64" s="6" t="s">
        <v>41</v>
      </c>
      <c r="B64" s="7">
        <v>7.3335437710437699</v>
      </c>
      <c r="C64" s="7">
        <v>449.01126086956515</v>
      </c>
      <c r="D64" s="66">
        <v>78.293266510101418</v>
      </c>
      <c r="E64" s="66">
        <v>22.490243902439026</v>
      </c>
      <c r="F64" s="67">
        <v>0.9</v>
      </c>
      <c r="G64" s="68">
        <f>$G63</f>
        <v>74.12533333333333</v>
      </c>
      <c r="H64" s="9">
        <f t="shared" si="31"/>
        <v>2.0712504367751698</v>
      </c>
      <c r="I64" s="67">
        <v>11</v>
      </c>
      <c r="J64" s="67">
        <v>0.85</v>
      </c>
      <c r="K64" s="67">
        <v>5000</v>
      </c>
      <c r="L64" s="67">
        <v>1260</v>
      </c>
      <c r="M64" s="67">
        <v>44.7</v>
      </c>
      <c r="N64" s="67">
        <f>$N63</f>
        <v>1.865</v>
      </c>
      <c r="O64" s="67">
        <f t="shared" si="30"/>
        <v>83.365500000000011</v>
      </c>
      <c r="P64" s="10">
        <f t="shared" si="32"/>
        <v>10083.22371721003</v>
      </c>
      <c r="Q64" s="68">
        <f t="shared" si="33"/>
        <v>34.202482628885775</v>
      </c>
      <c r="R64" s="69">
        <f t="shared" si="34"/>
        <v>4.8805756583638775E-2</v>
      </c>
    </row>
    <row r="65" spans="1:18" ht="16" customHeight="1">
      <c r="A65" s="6" t="s">
        <v>40</v>
      </c>
      <c r="B65" s="7">
        <v>8.1287291967291964</v>
      </c>
      <c r="C65" s="7">
        <v>313.96431999999993</v>
      </c>
      <c r="D65" s="8">
        <v>49.808832267557023</v>
      </c>
      <c r="E65" s="8">
        <v>29.911585365853657</v>
      </c>
      <c r="F65" s="67">
        <v>0.9</v>
      </c>
      <c r="G65" s="68">
        <f>$G64</f>
        <v>74.12533333333333</v>
      </c>
      <c r="H65" s="9">
        <f t="shared" si="31"/>
        <v>1.3073184322193445</v>
      </c>
      <c r="I65" s="67">
        <v>11</v>
      </c>
      <c r="J65" s="67">
        <v>0.85</v>
      </c>
      <c r="K65" s="67">
        <v>5000</v>
      </c>
      <c r="L65" s="67">
        <v>1270</v>
      </c>
      <c r="M65" s="67">
        <v>44.7</v>
      </c>
      <c r="N65" s="67">
        <f>$N64</f>
        <v>1.865</v>
      </c>
      <c r="O65" s="67">
        <f t="shared" si="30"/>
        <v>83.365500000000011</v>
      </c>
      <c r="P65" s="10">
        <f t="shared" si="32"/>
        <v>6414.7738526399189</v>
      </c>
      <c r="Q65" s="68">
        <f t="shared" si="33"/>
        <v>25.545338897032391</v>
      </c>
      <c r="R65" s="69">
        <f t="shared" si="34"/>
        <v>3.6452312704404945E-2</v>
      </c>
    </row>
    <row r="66" spans="1:18" s="1" customFormat="1" ht="16" customHeight="1">
      <c r="D66" s="19"/>
      <c r="F66" s="19"/>
      <c r="P66" s="41" t="s">
        <v>59</v>
      </c>
      <c r="Q66" s="42">
        <f>AVERAGE(Q61:Q65)</f>
        <v>28.836541481888542</v>
      </c>
      <c r="R66" s="43">
        <f>AVERAGE(R61:R65)</f>
        <v>4.1148744655466647E-2</v>
      </c>
    </row>
    <row r="68" spans="1:18" ht="16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8" s="1" customFormat="1" ht="41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82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6" customHeight="1">
      <c r="A70" s="6" t="s">
        <v>39</v>
      </c>
      <c r="B70" s="7">
        <v>7.6775522001425616</v>
      </c>
      <c r="C70" s="7">
        <v>481.90532530120498</v>
      </c>
      <c r="D70" s="66">
        <v>58.84782580359245</v>
      </c>
      <c r="E70" s="66">
        <v>27.664150943396226</v>
      </c>
      <c r="F70" s="67">
        <v>0.9</v>
      </c>
      <c r="G70" s="68">
        <f>'Summary N2O from residue'!H16*1000</f>
        <v>75.47244444444442</v>
      </c>
      <c r="H70" s="9">
        <f>D70*100/(3000*L70/1000)</f>
        <v>1.58193080117184</v>
      </c>
      <c r="I70" s="67">
        <v>11</v>
      </c>
      <c r="J70" s="67">
        <v>0.85</v>
      </c>
      <c r="K70" s="67">
        <v>5000</v>
      </c>
      <c r="L70" s="67">
        <v>1240</v>
      </c>
      <c r="M70" s="67">
        <v>44.7</v>
      </c>
      <c r="N70" s="67">
        <f>N61</f>
        <v>1.865</v>
      </c>
      <c r="O70" s="67">
        <f t="shared" ref="O70:O74" si="35">M70*N70</f>
        <v>83.365500000000011</v>
      </c>
      <c r="P70" s="10">
        <f>((H70/100)*K70*L70)/I70*J70</f>
        <v>7578.8866565232702</v>
      </c>
      <c r="Q70" s="68">
        <f>(21.37+(C70/(E70*F70))*((0.0037*G70)+(0.0000601*P70)-(0.00362*O70)))</f>
        <v>29.750031587193639</v>
      </c>
      <c r="R70" s="69">
        <f>(44/28)*0.0075*(14/62)*Q70/N70</f>
        <v>4.2452263356282542E-2</v>
      </c>
    </row>
    <row r="71" spans="1:18" ht="16" customHeight="1">
      <c r="A71" s="6" t="s">
        <v>38</v>
      </c>
      <c r="B71" s="7">
        <v>8.8453014076508083</v>
      </c>
      <c r="C71" s="7">
        <v>447.24197590361433</v>
      </c>
      <c r="D71" s="66">
        <v>46.819510866991834</v>
      </c>
      <c r="E71" s="66">
        <v>38.928571428571431</v>
      </c>
      <c r="F71" s="67">
        <v>0.9</v>
      </c>
      <c r="G71" s="68">
        <f>$G70</f>
        <v>75.47244444444442</v>
      </c>
      <c r="H71" s="9">
        <f t="shared" ref="H71:H74" si="36">D71*100/(3000*L71/1000)</f>
        <v>1.2585890018008556</v>
      </c>
      <c r="I71" s="67">
        <v>11</v>
      </c>
      <c r="J71" s="67">
        <v>0.85</v>
      </c>
      <c r="K71" s="67">
        <v>5000</v>
      </c>
      <c r="L71" s="67">
        <v>1240</v>
      </c>
      <c r="M71" s="67">
        <v>44.7</v>
      </c>
      <c r="N71" s="67">
        <f>$N70</f>
        <v>1.865</v>
      </c>
      <c r="O71" s="67">
        <f t="shared" si="35"/>
        <v>83.365500000000011</v>
      </c>
      <c r="P71" s="10">
        <f t="shared" ref="P71:P74" si="37">((H71/100)*K71*L71)/I71*J71</f>
        <v>6029.7854904459182</v>
      </c>
      <c r="Q71" s="68">
        <f t="shared" ref="Q71:Q74" si="38">(21.37+(C71/(E71*F71))*((0.0037*G71)+(0.0000601*P71)-(0.00362*O71)))</f>
        <v>25.708357124770057</v>
      </c>
      <c r="R71" s="69">
        <f t="shared" ref="R71:R74" si="39">(44/28)*0.0075*(14/62)*Q71/N71</f>
        <v>3.6684934061982692E-2</v>
      </c>
    </row>
    <row r="72" spans="1:18" ht="16" customHeight="1">
      <c r="A72" s="6" t="s">
        <v>37</v>
      </c>
      <c r="B72" s="7">
        <v>6.804890709260631</v>
      </c>
      <c r="C72" s="7">
        <v>448.31929268292657</v>
      </c>
      <c r="D72" s="66">
        <v>61.812721333496135</v>
      </c>
      <c r="E72" s="66">
        <v>28.921052631578949</v>
      </c>
      <c r="F72" s="67">
        <v>0.9</v>
      </c>
      <c r="G72" s="68">
        <f>$G71</f>
        <v>75.47244444444442</v>
      </c>
      <c r="H72" s="9">
        <f t="shared" si="36"/>
        <v>1.6751414995527409</v>
      </c>
      <c r="I72" s="67">
        <v>11</v>
      </c>
      <c r="J72" s="67">
        <v>0.85</v>
      </c>
      <c r="K72" s="67">
        <v>5000</v>
      </c>
      <c r="L72" s="67">
        <v>1230</v>
      </c>
      <c r="M72" s="67">
        <v>44.7</v>
      </c>
      <c r="N72" s="67">
        <f>$N71</f>
        <v>1.865</v>
      </c>
      <c r="O72" s="67">
        <f t="shared" si="35"/>
        <v>83.365500000000011</v>
      </c>
      <c r="P72" s="10">
        <f t="shared" si="37"/>
        <v>7960.729262647229</v>
      </c>
      <c r="Q72" s="68">
        <f t="shared" si="38"/>
        <v>29.222445895871523</v>
      </c>
      <c r="R72" s="69">
        <f t="shared" si="39"/>
        <v>4.1699416871216817E-2</v>
      </c>
    </row>
    <row r="73" spans="1:18" ht="16" customHeight="1">
      <c r="A73" s="6" t="s">
        <v>41</v>
      </c>
      <c r="B73" s="7">
        <v>7.3335437710437699</v>
      </c>
      <c r="C73" s="7">
        <v>449.01126086956515</v>
      </c>
      <c r="D73" s="66">
        <v>78.293266510101418</v>
      </c>
      <c r="E73" s="66">
        <v>22.490243902439026</v>
      </c>
      <c r="F73" s="67">
        <v>0.9</v>
      </c>
      <c r="G73" s="68">
        <f>$G72</f>
        <v>75.47244444444442</v>
      </c>
      <c r="H73" s="9">
        <f t="shared" si="36"/>
        <v>2.0712504367751698</v>
      </c>
      <c r="I73" s="67">
        <v>11</v>
      </c>
      <c r="J73" s="67">
        <v>0.85</v>
      </c>
      <c r="K73" s="67">
        <v>5000</v>
      </c>
      <c r="L73" s="67">
        <v>1260</v>
      </c>
      <c r="M73" s="67">
        <v>44.7</v>
      </c>
      <c r="N73" s="67">
        <f>$N72</f>
        <v>1.865</v>
      </c>
      <c r="O73" s="67">
        <f t="shared" si="35"/>
        <v>83.365500000000011</v>
      </c>
      <c r="P73" s="10">
        <f t="shared" si="37"/>
        <v>10083.22371721003</v>
      </c>
      <c r="Q73" s="68">
        <f t="shared" si="38"/>
        <v>34.313049673288305</v>
      </c>
      <c r="R73" s="69">
        <f t="shared" si="39"/>
        <v>4.8963531921582371E-2</v>
      </c>
    </row>
    <row r="74" spans="1:18" ht="16" customHeight="1">
      <c r="A74" s="6" t="s">
        <v>40</v>
      </c>
      <c r="B74" s="7">
        <v>8.1287291967291964</v>
      </c>
      <c r="C74" s="7">
        <v>313.96431999999993</v>
      </c>
      <c r="D74" s="8">
        <v>49.808832267557023</v>
      </c>
      <c r="E74" s="8">
        <v>29.911585365853657</v>
      </c>
      <c r="F74" s="67">
        <v>0.9</v>
      </c>
      <c r="G74" s="68">
        <f>$G73</f>
        <v>75.47244444444442</v>
      </c>
      <c r="H74" s="9">
        <f t="shared" si="36"/>
        <v>1.3073184322193445</v>
      </c>
      <c r="I74" s="67">
        <v>11</v>
      </c>
      <c r="J74" s="67">
        <v>0.85</v>
      </c>
      <c r="K74" s="67">
        <v>5000</v>
      </c>
      <c r="L74" s="67">
        <v>1270</v>
      </c>
      <c r="M74" s="67">
        <v>44.7</v>
      </c>
      <c r="N74" s="67">
        <f>$N73</f>
        <v>1.865</v>
      </c>
      <c r="O74" s="67">
        <f t="shared" si="35"/>
        <v>83.365500000000011</v>
      </c>
      <c r="P74" s="10">
        <f t="shared" si="37"/>
        <v>6414.7738526399189</v>
      </c>
      <c r="Q74" s="68">
        <f t="shared" si="38"/>
        <v>25.603469321880151</v>
      </c>
      <c r="R74" s="69">
        <f t="shared" si="39"/>
        <v>3.6535262804723898E-2</v>
      </c>
    </row>
    <row r="75" spans="1:18" s="1" customFormat="1" ht="16" customHeight="1">
      <c r="D75" s="19"/>
      <c r="F75" s="19"/>
      <c r="P75" s="41" t="s">
        <v>59</v>
      </c>
      <c r="Q75" s="42">
        <f>AVERAGE(Q70:Q74)</f>
        <v>28.919470720600732</v>
      </c>
      <c r="R75" s="43">
        <f>AVERAGE(R70:R74)</f>
        <v>4.1267081803157669E-2</v>
      </c>
    </row>
    <row r="77" spans="1:18" ht="16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8" s="1" customFormat="1" ht="41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82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6" customHeight="1">
      <c r="A79" s="6" t="s">
        <v>39</v>
      </c>
      <c r="B79" s="7">
        <v>7.6775522001425616</v>
      </c>
      <c r="C79" s="7">
        <v>481.90532530120498</v>
      </c>
      <c r="D79" s="66">
        <v>58.84782580359245</v>
      </c>
      <c r="E79" s="66">
        <v>27.664150943396226</v>
      </c>
      <c r="F79" s="67">
        <v>0.9</v>
      </c>
      <c r="G79" s="68">
        <f>'Summary N2O from residue'!H17*1000</f>
        <v>85.676888888888868</v>
      </c>
      <c r="H79" s="9">
        <f>D79*100/(3000*L79/1000)</f>
        <v>1.58193080117184</v>
      </c>
      <c r="I79" s="67">
        <v>11</v>
      </c>
      <c r="J79" s="67">
        <v>0.85</v>
      </c>
      <c r="K79" s="67">
        <v>5000</v>
      </c>
      <c r="L79" s="67">
        <v>1240</v>
      </c>
      <c r="M79" s="67">
        <v>44.7</v>
      </c>
      <c r="N79" s="67">
        <f>N70</f>
        <v>1.865</v>
      </c>
      <c r="O79" s="67">
        <f t="shared" ref="O79:O83" si="40">M79*N79</f>
        <v>83.365500000000011</v>
      </c>
      <c r="P79" s="10">
        <f>((H79/100)*K79*L79)/I79*J79</f>
        <v>7578.8866565232702</v>
      </c>
      <c r="Q79" s="68">
        <f>(21.37+(C79/(E79*F79))*((0.0037*G79)+(0.0000601*P79)-(0.00362*O79)))</f>
        <v>30.480822200144345</v>
      </c>
      <c r="R79" s="69">
        <f>(44/28)*0.0075*(14/62)*Q79/N79</f>
        <v>4.3495076217450628E-2</v>
      </c>
    </row>
    <row r="80" spans="1:18" ht="16" customHeight="1">
      <c r="A80" s="6" t="s">
        <v>38</v>
      </c>
      <c r="B80" s="7">
        <v>8.8453014076508083</v>
      </c>
      <c r="C80" s="7">
        <v>447.24197590361433</v>
      </c>
      <c r="D80" s="66">
        <v>46.819510866991834</v>
      </c>
      <c r="E80" s="66">
        <v>38.928571428571431</v>
      </c>
      <c r="F80" s="67">
        <v>0.9</v>
      </c>
      <c r="G80" s="68">
        <f>$G79</f>
        <v>85.676888888888868</v>
      </c>
      <c r="H80" s="9">
        <f t="shared" ref="H80:H83" si="41">D80*100/(3000*L80/1000)</f>
        <v>1.2585890018008556</v>
      </c>
      <c r="I80" s="67">
        <v>11</v>
      </c>
      <c r="J80" s="67">
        <v>0.85</v>
      </c>
      <c r="K80" s="67">
        <v>5000</v>
      </c>
      <c r="L80" s="67">
        <v>1240</v>
      </c>
      <c r="M80" s="67">
        <v>44.7</v>
      </c>
      <c r="N80" s="67">
        <f>$N79</f>
        <v>1.865</v>
      </c>
      <c r="O80" s="67">
        <f t="shared" si="40"/>
        <v>83.365500000000011</v>
      </c>
      <c r="P80" s="10">
        <f t="shared" ref="P80:P83" si="42">((H80/100)*K80*L80)/I80*J80</f>
        <v>6029.7854904459182</v>
      </c>
      <c r="Q80" s="68">
        <f t="shared" ref="Q80:Q83" si="43">(21.37+(C80/(E80*F80))*((0.0037*G80)+(0.0000601*P80)-(0.00362*O80)))</f>
        <v>26.190330081813883</v>
      </c>
      <c r="R80" s="69">
        <f t="shared" ref="R80:R83" si="44">(44/28)*0.0075*(14/62)*Q80/N80</f>
        <v>3.7372692757063827E-2</v>
      </c>
    </row>
    <row r="81" spans="1:18" ht="16" customHeight="1">
      <c r="A81" s="6" t="s">
        <v>37</v>
      </c>
      <c r="B81" s="7">
        <v>6.804890709260631</v>
      </c>
      <c r="C81" s="7">
        <v>448.31929268292657</v>
      </c>
      <c r="D81" s="66">
        <v>61.812721333496135</v>
      </c>
      <c r="E81" s="66">
        <v>28.921052631578949</v>
      </c>
      <c r="F81" s="67">
        <v>0.9</v>
      </c>
      <c r="G81" s="68">
        <f>$G80</f>
        <v>85.676888888888868</v>
      </c>
      <c r="H81" s="9">
        <f t="shared" si="41"/>
        <v>1.6751414995527409</v>
      </c>
      <c r="I81" s="67">
        <v>11</v>
      </c>
      <c r="J81" s="67">
        <v>0.85</v>
      </c>
      <c r="K81" s="67">
        <v>5000</v>
      </c>
      <c r="L81" s="67">
        <v>1230</v>
      </c>
      <c r="M81" s="67">
        <v>44.7</v>
      </c>
      <c r="N81" s="67">
        <f>$N80</f>
        <v>1.865</v>
      </c>
      <c r="O81" s="67">
        <f t="shared" si="40"/>
        <v>83.365500000000011</v>
      </c>
      <c r="P81" s="10">
        <f t="shared" si="42"/>
        <v>7960.729262647229</v>
      </c>
      <c r="Q81" s="68">
        <f t="shared" si="43"/>
        <v>29.87275811280319</v>
      </c>
      <c r="R81" s="69">
        <f t="shared" si="44"/>
        <v>4.2627389852222829E-2</v>
      </c>
    </row>
    <row r="82" spans="1:18" ht="16" customHeight="1">
      <c r="A82" s="6" t="s">
        <v>41</v>
      </c>
      <c r="B82" s="7">
        <v>7.3335437710437699</v>
      </c>
      <c r="C82" s="7">
        <v>449.01126086956515</v>
      </c>
      <c r="D82" s="66">
        <v>78.293266510101418</v>
      </c>
      <c r="E82" s="66">
        <v>22.490243902439026</v>
      </c>
      <c r="F82" s="67">
        <v>0.9</v>
      </c>
      <c r="G82" s="68">
        <f>$G81</f>
        <v>85.676888888888868</v>
      </c>
      <c r="H82" s="9">
        <f t="shared" si="41"/>
        <v>2.0712504367751698</v>
      </c>
      <c r="I82" s="67">
        <v>11</v>
      </c>
      <c r="J82" s="67">
        <v>0.85</v>
      </c>
      <c r="K82" s="67">
        <v>5000</v>
      </c>
      <c r="L82" s="67">
        <v>1260</v>
      </c>
      <c r="M82" s="67">
        <v>44.7</v>
      </c>
      <c r="N82" s="67">
        <f>$N81</f>
        <v>1.865</v>
      </c>
      <c r="O82" s="67">
        <f t="shared" si="40"/>
        <v>83.365500000000011</v>
      </c>
      <c r="P82" s="10">
        <f t="shared" si="42"/>
        <v>10083.22371721003</v>
      </c>
      <c r="Q82" s="68">
        <f t="shared" si="43"/>
        <v>35.150601418415995</v>
      </c>
      <c r="R82" s="69">
        <f t="shared" si="44"/>
        <v>5.0158689215935637E-2</v>
      </c>
    </row>
    <row r="83" spans="1:18" ht="16" customHeight="1">
      <c r="A83" s="6" t="s">
        <v>40</v>
      </c>
      <c r="B83" s="7">
        <v>8.1287291967291964</v>
      </c>
      <c r="C83" s="7">
        <v>313.96431999999993</v>
      </c>
      <c r="D83" s="8">
        <v>49.808832267557023</v>
      </c>
      <c r="E83" s="8">
        <v>29.911585365853657</v>
      </c>
      <c r="F83" s="67">
        <v>0.9</v>
      </c>
      <c r="G83" s="68">
        <f>$G82</f>
        <v>85.676888888888868</v>
      </c>
      <c r="H83" s="9">
        <f t="shared" si="41"/>
        <v>1.3073184322193445</v>
      </c>
      <c r="I83" s="67">
        <v>11</v>
      </c>
      <c r="J83" s="67">
        <v>0.85</v>
      </c>
      <c r="K83" s="67">
        <v>5000</v>
      </c>
      <c r="L83" s="67">
        <v>1270</v>
      </c>
      <c r="M83" s="67">
        <v>44.7</v>
      </c>
      <c r="N83" s="67">
        <f>$N82</f>
        <v>1.865</v>
      </c>
      <c r="O83" s="67">
        <f t="shared" si="40"/>
        <v>83.365500000000011</v>
      </c>
      <c r="P83" s="10">
        <f t="shared" si="42"/>
        <v>6414.7738526399189</v>
      </c>
      <c r="Q83" s="68">
        <f t="shared" si="43"/>
        <v>26.04381064636204</v>
      </c>
      <c r="R83" s="69">
        <f t="shared" si="44"/>
        <v>3.7163614603906735E-2</v>
      </c>
    </row>
    <row r="84" spans="1:18" s="1" customFormat="1" ht="16" customHeight="1">
      <c r="D84" s="19"/>
      <c r="F84" s="19"/>
      <c r="P84" s="41" t="s">
        <v>59</v>
      </c>
      <c r="Q84" s="42">
        <f>AVERAGE(Q79:Q83)</f>
        <v>29.547664491907888</v>
      </c>
      <c r="R84" s="43">
        <f>AVERAGE(R79:R83)</f>
        <v>4.2163492529315935E-2</v>
      </c>
    </row>
    <row r="85" spans="1:18" ht="16" customHeight="1">
      <c r="B85" s="33"/>
    </row>
    <row r="86" spans="1:18" ht="16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8" s="1" customFormat="1" ht="41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82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6" customHeight="1">
      <c r="A88" s="6" t="s">
        <v>39</v>
      </c>
      <c r="B88" s="7">
        <v>7.6775522001425616</v>
      </c>
      <c r="C88" s="7">
        <v>481.90532530120498</v>
      </c>
      <c r="D88" s="66">
        <v>58.84782580359245</v>
      </c>
      <c r="E88" s="66">
        <v>27.664150943396226</v>
      </c>
      <c r="F88" s="67">
        <v>0.9</v>
      </c>
      <c r="G88" s="68">
        <f>'Summary N2O from residue'!H18*1000</f>
        <v>95.881333333333316</v>
      </c>
      <c r="H88" s="9">
        <f>D88*100/(3000*L88/1000)</f>
        <v>1.58193080117184</v>
      </c>
      <c r="I88" s="67">
        <v>11</v>
      </c>
      <c r="J88" s="67">
        <v>0.85</v>
      </c>
      <c r="K88" s="67">
        <v>5000</v>
      </c>
      <c r="L88" s="67">
        <v>1240</v>
      </c>
      <c r="M88" s="67">
        <v>44.7</v>
      </c>
      <c r="N88" s="67">
        <f>N79</f>
        <v>1.865</v>
      </c>
      <c r="O88" s="67">
        <f t="shared" ref="O88:O92" si="45">M88*N88</f>
        <v>83.365500000000011</v>
      </c>
      <c r="P88" s="10">
        <f>((H88/100)*K88*L88)/I88*J88</f>
        <v>7578.8866565232702</v>
      </c>
      <c r="Q88" s="68">
        <f>(21.37+(C88/(E88*F88))*((0.0037*G88)+(0.0000601*P88)-(0.00362*O88)))</f>
        <v>31.211612813095055</v>
      </c>
      <c r="R88" s="69">
        <f>(44/28)*0.0075*(14/62)*Q88/N88</f>
        <v>4.453788907861872E-2</v>
      </c>
    </row>
    <row r="89" spans="1:18" ht="16" customHeight="1">
      <c r="A89" s="6" t="s">
        <v>38</v>
      </c>
      <c r="B89" s="7">
        <v>8.8453014076508083</v>
      </c>
      <c r="C89" s="7">
        <v>447.24197590361433</v>
      </c>
      <c r="D89" s="66">
        <v>46.819510866991834</v>
      </c>
      <c r="E89" s="66">
        <v>38.928571428571431</v>
      </c>
      <c r="F89" s="67">
        <v>0.9</v>
      </c>
      <c r="G89" s="68">
        <f>$G88</f>
        <v>95.881333333333316</v>
      </c>
      <c r="H89" s="9">
        <f t="shared" ref="H89:H92" si="46">D89*100/(3000*L89/1000)</f>
        <v>1.2585890018008556</v>
      </c>
      <c r="I89" s="67">
        <v>11</v>
      </c>
      <c r="J89" s="67">
        <v>0.85</v>
      </c>
      <c r="K89" s="67">
        <v>5000</v>
      </c>
      <c r="L89" s="67">
        <v>1240</v>
      </c>
      <c r="M89" s="67">
        <v>44.7</v>
      </c>
      <c r="N89" s="67">
        <f>$N88</f>
        <v>1.865</v>
      </c>
      <c r="O89" s="67">
        <f t="shared" si="45"/>
        <v>83.365500000000011</v>
      </c>
      <c r="P89" s="10">
        <f t="shared" ref="P89:P92" si="47">((H89/100)*K89*L89)/I89*J89</f>
        <v>6029.7854904459182</v>
      </c>
      <c r="Q89" s="68">
        <f t="shared" ref="Q89:Q92" si="48">(21.37+(C89/(E89*F89))*((0.0037*G89)+(0.0000601*P89)-(0.00362*O89)))</f>
        <v>26.672303038857713</v>
      </c>
      <c r="R89" s="69">
        <f t="shared" ref="R89:R92" si="49">(44/28)*0.0075*(14/62)*Q89/N89</f>
        <v>3.8060451452144962E-2</v>
      </c>
    </row>
    <row r="90" spans="1:18" ht="16" customHeight="1">
      <c r="A90" s="6" t="s">
        <v>37</v>
      </c>
      <c r="B90" s="7">
        <v>6.804890709260631</v>
      </c>
      <c r="C90" s="7">
        <v>448.31929268292657</v>
      </c>
      <c r="D90" s="66">
        <v>61.812721333496135</v>
      </c>
      <c r="E90" s="66">
        <v>28.921052631578949</v>
      </c>
      <c r="F90" s="67">
        <v>0.9</v>
      </c>
      <c r="G90" s="68">
        <f>$G89</f>
        <v>95.881333333333316</v>
      </c>
      <c r="H90" s="9">
        <f t="shared" si="46"/>
        <v>1.6751414995527409</v>
      </c>
      <c r="I90" s="67">
        <v>11</v>
      </c>
      <c r="J90" s="67">
        <v>0.85</v>
      </c>
      <c r="K90" s="67">
        <v>5000</v>
      </c>
      <c r="L90" s="67">
        <v>1230</v>
      </c>
      <c r="M90" s="67">
        <v>44.7</v>
      </c>
      <c r="N90" s="67">
        <f>$N89</f>
        <v>1.865</v>
      </c>
      <c r="O90" s="67">
        <f t="shared" si="45"/>
        <v>83.365500000000011</v>
      </c>
      <c r="P90" s="10">
        <f t="shared" si="47"/>
        <v>7960.729262647229</v>
      </c>
      <c r="Q90" s="68">
        <f t="shared" si="48"/>
        <v>30.523070329734857</v>
      </c>
      <c r="R90" s="69">
        <f t="shared" si="49"/>
        <v>4.355536283322884E-2</v>
      </c>
    </row>
    <row r="91" spans="1:18" ht="16" customHeight="1">
      <c r="A91" s="6" t="s">
        <v>41</v>
      </c>
      <c r="B91" s="7">
        <v>7.3335437710437699</v>
      </c>
      <c r="C91" s="7">
        <v>449.01126086956515</v>
      </c>
      <c r="D91" s="66">
        <v>78.293266510101418</v>
      </c>
      <c r="E91" s="66">
        <v>22.490243902439026</v>
      </c>
      <c r="F91" s="67">
        <v>0.9</v>
      </c>
      <c r="G91" s="68">
        <f>$G90</f>
        <v>95.881333333333316</v>
      </c>
      <c r="H91" s="9">
        <f t="shared" si="46"/>
        <v>2.0712504367751698</v>
      </c>
      <c r="I91" s="67">
        <v>11</v>
      </c>
      <c r="J91" s="67">
        <v>0.85</v>
      </c>
      <c r="K91" s="67">
        <v>5000</v>
      </c>
      <c r="L91" s="67">
        <v>1260</v>
      </c>
      <c r="M91" s="67">
        <v>44.7</v>
      </c>
      <c r="N91" s="67">
        <f>$N90</f>
        <v>1.865</v>
      </c>
      <c r="O91" s="67">
        <f t="shared" si="45"/>
        <v>83.365500000000011</v>
      </c>
      <c r="P91" s="10">
        <f t="shared" si="47"/>
        <v>10083.22371721003</v>
      </c>
      <c r="Q91" s="68">
        <f t="shared" si="48"/>
        <v>35.988153163543686</v>
      </c>
      <c r="R91" s="69">
        <f t="shared" si="49"/>
        <v>5.135384651028891E-2</v>
      </c>
    </row>
    <row r="92" spans="1:18" ht="16" customHeight="1">
      <c r="A92" s="6" t="s">
        <v>40</v>
      </c>
      <c r="B92" s="7">
        <v>8.1287291967291964</v>
      </c>
      <c r="C92" s="7">
        <v>313.96431999999993</v>
      </c>
      <c r="D92" s="8">
        <v>49.808832267557023</v>
      </c>
      <c r="E92" s="8">
        <v>29.911585365853657</v>
      </c>
      <c r="F92" s="67">
        <v>0.9</v>
      </c>
      <c r="G92" s="68">
        <f>$G91</f>
        <v>95.881333333333316</v>
      </c>
      <c r="H92" s="9">
        <f t="shared" si="46"/>
        <v>1.3073184322193445</v>
      </c>
      <c r="I92" s="67">
        <v>11</v>
      </c>
      <c r="J92" s="67">
        <v>0.85</v>
      </c>
      <c r="K92" s="67">
        <v>5000</v>
      </c>
      <c r="L92" s="67">
        <v>1270</v>
      </c>
      <c r="M92" s="67">
        <v>44.7</v>
      </c>
      <c r="N92" s="67">
        <f>$N91</f>
        <v>1.865</v>
      </c>
      <c r="O92" s="67">
        <f t="shared" si="45"/>
        <v>83.365500000000011</v>
      </c>
      <c r="P92" s="10">
        <f t="shared" si="47"/>
        <v>6414.7738526399189</v>
      </c>
      <c r="Q92" s="68">
        <f t="shared" si="48"/>
        <v>26.484151970843932</v>
      </c>
      <c r="R92" s="69">
        <f t="shared" si="49"/>
        <v>3.7791966403089586E-2</v>
      </c>
    </row>
    <row r="93" spans="1:18" s="1" customFormat="1" ht="16" customHeight="1">
      <c r="D93" s="19"/>
      <c r="F93" s="19"/>
      <c r="P93" s="41" t="s">
        <v>59</v>
      </c>
      <c r="Q93" s="42">
        <f>AVERAGE(Q88:Q92)</f>
        <v>30.175858263215048</v>
      </c>
      <c r="R93" s="43">
        <f>AVERAGE(R88:R92)</f>
        <v>4.3059903255474194E-2</v>
      </c>
    </row>
    <row r="96" spans="1:18" ht="16" customHeight="1">
      <c r="A96" s="60"/>
      <c r="B96" s="60"/>
      <c r="C96" s="60"/>
      <c r="D96" s="61"/>
      <c r="E96" s="61"/>
      <c r="F96" s="60"/>
      <c r="G96" s="62"/>
      <c r="H96" s="62"/>
      <c r="I96" s="63"/>
      <c r="J96" s="62"/>
      <c r="K96" s="62"/>
      <c r="L96" s="62"/>
      <c r="M96" s="62"/>
      <c r="N96" s="62"/>
      <c r="O96" s="62"/>
      <c r="P96" s="62"/>
      <c r="Q96" s="62"/>
      <c r="R96" s="62"/>
    </row>
    <row r="97" spans="1:18" ht="16" customHeight="1">
      <c r="A97" s="60"/>
      <c r="B97" s="60"/>
      <c r="C97" s="60"/>
      <c r="D97" s="61"/>
      <c r="E97" s="61"/>
      <c r="F97" s="60"/>
      <c r="G97" s="62"/>
      <c r="H97" s="62"/>
      <c r="I97" s="62"/>
      <c r="J97" s="62"/>
      <c r="K97" s="62"/>
      <c r="L97" s="62"/>
      <c r="M97" s="62"/>
      <c r="N97" s="62"/>
      <c r="O97" s="62"/>
      <c r="P97" s="62"/>
      <c r="Q97" s="62"/>
      <c r="R97" s="62"/>
    </row>
    <row r="98" spans="1:18" ht="16" customHeight="1">
      <c r="A98" s="1"/>
      <c r="B98" s="30"/>
      <c r="C98" s="30"/>
      <c r="D98" s="54"/>
      <c r="E98" s="54"/>
      <c r="F98" s="50"/>
      <c r="G98" s="55"/>
      <c r="H98" s="24"/>
      <c r="I98" s="50"/>
      <c r="J98" s="50"/>
      <c r="K98" s="50"/>
      <c r="L98" s="50"/>
      <c r="M98" s="50"/>
      <c r="N98" s="50"/>
      <c r="O98" s="50"/>
      <c r="P98" s="23"/>
      <c r="Q98" s="55"/>
      <c r="R98" s="56"/>
    </row>
    <row r="99" spans="1:18" ht="16" customHeight="1">
      <c r="A99" s="1"/>
      <c r="B99" s="30"/>
      <c r="C99" s="30"/>
      <c r="D99" s="54"/>
      <c r="E99" s="54"/>
      <c r="F99" s="50"/>
      <c r="G99" s="55"/>
      <c r="H99" s="24"/>
      <c r="I99" s="50"/>
      <c r="J99" s="50"/>
      <c r="K99" s="50"/>
      <c r="L99" s="50"/>
      <c r="M99" s="50"/>
      <c r="N99" s="50"/>
      <c r="O99" s="50"/>
      <c r="P99" s="23"/>
      <c r="Q99" s="55"/>
      <c r="R99" s="56"/>
    </row>
    <row r="100" spans="1:18" ht="16" customHeight="1">
      <c r="A100" s="1"/>
      <c r="B100" s="30"/>
      <c r="C100" s="30"/>
      <c r="D100" s="54"/>
      <c r="E100" s="54"/>
      <c r="F100" s="50"/>
      <c r="G100" s="55"/>
      <c r="H100" s="24"/>
      <c r="I100" s="50"/>
      <c r="J100" s="50"/>
      <c r="K100" s="50"/>
      <c r="L100" s="50"/>
      <c r="M100" s="50"/>
      <c r="N100" s="50"/>
      <c r="O100" s="50"/>
      <c r="P100" s="23"/>
      <c r="Q100" s="55"/>
      <c r="R100" s="56"/>
    </row>
    <row r="101" spans="1:18" ht="16" customHeight="1">
      <c r="A101" s="1"/>
      <c r="B101" s="30"/>
      <c r="C101" s="30"/>
      <c r="D101" s="54"/>
      <c r="E101" s="54"/>
      <c r="F101" s="50"/>
      <c r="G101" s="55"/>
      <c r="H101" s="24"/>
      <c r="I101" s="50"/>
      <c r="J101" s="50"/>
      <c r="K101" s="50"/>
      <c r="L101" s="50"/>
      <c r="M101" s="50"/>
      <c r="N101" s="50"/>
      <c r="O101" s="50"/>
      <c r="P101" s="23"/>
      <c r="Q101" s="55"/>
      <c r="R101" s="56"/>
    </row>
    <row r="102" spans="1:18" ht="16" customHeight="1">
      <c r="A102" s="1"/>
      <c r="B102" s="30"/>
      <c r="C102" s="30"/>
      <c r="D102" s="54"/>
      <c r="E102" s="54"/>
      <c r="F102" s="50"/>
      <c r="G102" s="55"/>
      <c r="H102" s="24"/>
      <c r="I102" s="50"/>
      <c r="J102" s="50"/>
      <c r="K102" s="50"/>
      <c r="L102" s="50"/>
      <c r="M102" s="50"/>
      <c r="N102" s="50"/>
      <c r="O102" s="50"/>
      <c r="P102" s="23"/>
      <c r="Q102" s="55"/>
      <c r="R102" s="56"/>
    </row>
    <row r="103" spans="1:18" ht="16" customHeight="1">
      <c r="A103" s="38"/>
      <c r="D103" s="57"/>
      <c r="E103" s="57"/>
      <c r="R103" s="58"/>
    </row>
    <row r="106" spans="1:18" ht="16" customHeight="1">
      <c r="A106" s="60"/>
      <c r="B106" s="60"/>
      <c r="C106" s="60"/>
      <c r="D106" s="61"/>
      <c r="E106" s="61"/>
      <c r="F106" s="60"/>
      <c r="G106" s="62"/>
      <c r="H106" s="62"/>
      <c r="I106" s="63"/>
      <c r="J106" s="62"/>
      <c r="K106" s="62"/>
      <c r="L106" s="62"/>
      <c r="M106" s="62"/>
      <c r="N106" s="62"/>
      <c r="O106" s="62"/>
      <c r="P106" s="62"/>
      <c r="Q106" s="62"/>
      <c r="R106" s="62"/>
    </row>
    <row r="107" spans="1:18" ht="16" customHeight="1">
      <c r="A107" s="60"/>
      <c r="B107" s="60"/>
      <c r="C107" s="60"/>
      <c r="D107" s="61"/>
      <c r="E107" s="61"/>
      <c r="F107" s="60"/>
      <c r="G107" s="62"/>
      <c r="H107" s="62"/>
      <c r="I107" s="62"/>
      <c r="J107" s="62"/>
      <c r="K107" s="62"/>
      <c r="L107" s="62"/>
      <c r="M107" s="62"/>
      <c r="N107" s="62"/>
      <c r="O107" s="62"/>
      <c r="P107" s="62"/>
      <c r="Q107" s="62"/>
      <c r="R107" s="62"/>
    </row>
    <row r="108" spans="1:18" ht="16" customHeight="1">
      <c r="A108" s="1"/>
      <c r="B108" s="30"/>
      <c r="C108" s="30"/>
      <c r="D108" s="54"/>
      <c r="E108" s="54"/>
      <c r="F108" s="50"/>
      <c r="G108" s="55"/>
      <c r="H108" s="24"/>
      <c r="I108" s="50"/>
      <c r="J108" s="50"/>
      <c r="K108" s="50"/>
      <c r="L108" s="50"/>
      <c r="M108" s="50"/>
      <c r="N108" s="50"/>
      <c r="O108" s="50"/>
      <c r="P108" s="23"/>
      <c r="Q108" s="55"/>
      <c r="R108" s="56"/>
    </row>
    <row r="109" spans="1:18" ht="16" customHeight="1">
      <c r="A109" s="1"/>
      <c r="B109" s="30"/>
      <c r="C109" s="30"/>
      <c r="D109" s="54"/>
      <c r="E109" s="54"/>
      <c r="F109" s="50"/>
      <c r="G109" s="55"/>
      <c r="H109" s="24"/>
      <c r="I109" s="50"/>
      <c r="J109" s="50"/>
      <c r="K109" s="50"/>
      <c r="L109" s="50"/>
      <c r="M109" s="50"/>
      <c r="N109" s="50"/>
      <c r="O109" s="50"/>
      <c r="P109" s="23"/>
      <c r="Q109" s="55"/>
      <c r="R109" s="56"/>
    </row>
    <row r="110" spans="1:18" ht="16" customHeight="1">
      <c r="A110" s="1"/>
      <c r="B110" s="30"/>
      <c r="C110" s="30"/>
      <c r="D110" s="54"/>
      <c r="E110" s="54"/>
      <c r="F110" s="50"/>
      <c r="G110" s="55"/>
      <c r="H110" s="24"/>
      <c r="I110" s="50"/>
      <c r="J110" s="50"/>
      <c r="K110" s="50"/>
      <c r="L110" s="50"/>
      <c r="M110" s="50"/>
      <c r="N110" s="50"/>
      <c r="O110" s="50"/>
      <c r="P110" s="23"/>
      <c r="Q110" s="55"/>
      <c r="R110" s="56"/>
    </row>
    <row r="111" spans="1:18" ht="16" customHeight="1">
      <c r="A111" s="1"/>
      <c r="B111" s="30"/>
      <c r="C111" s="30"/>
      <c r="D111" s="54"/>
      <c r="E111" s="54"/>
      <c r="F111" s="50"/>
      <c r="G111" s="55"/>
      <c r="H111" s="24"/>
      <c r="I111" s="50"/>
      <c r="J111" s="50"/>
      <c r="K111" s="50"/>
      <c r="L111" s="50"/>
      <c r="M111" s="50"/>
      <c r="N111" s="50"/>
      <c r="O111" s="50"/>
      <c r="P111" s="23"/>
      <c r="Q111" s="55"/>
      <c r="R111" s="56"/>
    </row>
    <row r="112" spans="1:18" ht="16" customHeight="1">
      <c r="A112" s="1"/>
      <c r="B112" s="30"/>
      <c r="C112" s="30"/>
      <c r="D112" s="54"/>
      <c r="E112" s="54"/>
      <c r="F112" s="50"/>
      <c r="G112" s="55"/>
      <c r="H112" s="24"/>
      <c r="I112" s="50"/>
      <c r="J112" s="50"/>
      <c r="K112" s="50"/>
      <c r="L112" s="50"/>
      <c r="M112" s="50"/>
      <c r="N112" s="50"/>
      <c r="O112" s="50"/>
      <c r="P112" s="23"/>
      <c r="Q112" s="55"/>
      <c r="R112" s="56"/>
    </row>
    <row r="113" spans="1:18" ht="16" customHeight="1">
      <c r="A113" s="38"/>
      <c r="D113" s="57"/>
      <c r="E113" s="57"/>
      <c r="R113" s="58"/>
    </row>
  </sheetData>
  <mergeCells count="38">
    <mergeCell ref="A2:C2"/>
    <mergeCell ref="A12:C12"/>
    <mergeCell ref="R96:R97"/>
    <mergeCell ref="A96:A97"/>
    <mergeCell ref="B96:B97"/>
    <mergeCell ref="C96:C97"/>
    <mergeCell ref="D96:D97"/>
    <mergeCell ref="E96:E97"/>
    <mergeCell ref="F96:F97"/>
    <mergeCell ref="G96:G97"/>
    <mergeCell ref="H96:H97"/>
    <mergeCell ref="I96:I97"/>
    <mergeCell ref="J96:J97"/>
    <mergeCell ref="K96:K97"/>
    <mergeCell ref="L96:L97"/>
    <mergeCell ref="M96:M97"/>
    <mergeCell ref="A106:A107"/>
    <mergeCell ref="B106:B107"/>
    <mergeCell ref="C106:C107"/>
    <mergeCell ref="D106:D107"/>
    <mergeCell ref="E106:E107"/>
    <mergeCell ref="N96:N97"/>
    <mergeCell ref="O96:O97"/>
    <mergeCell ref="P96:P97"/>
    <mergeCell ref="Q96:Q97"/>
    <mergeCell ref="P106:P107"/>
    <mergeCell ref="Q106:Q107"/>
    <mergeCell ref="R106:R107"/>
    <mergeCell ref="K106:K107"/>
    <mergeCell ref="L106:L107"/>
    <mergeCell ref="M106:M107"/>
    <mergeCell ref="N106:N107"/>
    <mergeCell ref="O106:O107"/>
    <mergeCell ref="F106:F107"/>
    <mergeCell ref="G106:G107"/>
    <mergeCell ref="H106:H107"/>
    <mergeCell ref="I106:I107"/>
    <mergeCell ref="J106:J107"/>
  </mergeCells>
  <pageMargins left="0.7" right="0.7" top="0.75" bottom="0.75" header="0.3" footer="0.3"/>
  <pageSetup scale="66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4"/>
  <sheetViews>
    <sheetView zoomScaleNormal="100" workbookViewId="0">
      <selection activeCell="C16" sqref="C16"/>
    </sheetView>
  </sheetViews>
  <sheetFormatPr defaultColWidth="14.36328125" defaultRowHeight="16" customHeight="1"/>
  <cols>
    <col min="1" max="12" width="14.36328125" style="1"/>
    <col min="13" max="13" width="15.6328125" style="1" customWidth="1"/>
    <col min="14" max="17" width="14.36328125" style="1"/>
    <col min="18" max="18" width="19.453125" style="1" customWidth="1"/>
    <col min="19" max="16384" width="14.36328125" style="1"/>
  </cols>
  <sheetData>
    <row r="1" spans="1:18" ht="16" customHeight="1">
      <c r="A1" s="31" t="s">
        <v>8</v>
      </c>
    </row>
    <row r="2" spans="1:18" ht="16" customHeight="1">
      <c r="A2" s="2" t="s">
        <v>100</v>
      </c>
      <c r="B2" s="2"/>
      <c r="C2" s="2"/>
    </row>
    <row r="3" spans="1:18" ht="16" customHeight="1">
      <c r="A3" s="35"/>
      <c r="B3" s="35"/>
      <c r="C3" s="35"/>
      <c r="D3" s="35"/>
      <c r="E3" s="35"/>
      <c r="F3" s="35"/>
      <c r="G3" s="35"/>
      <c r="H3" s="35"/>
      <c r="I3" s="36"/>
      <c r="J3" s="35"/>
      <c r="K3" s="35"/>
      <c r="L3" s="35"/>
      <c r="M3" s="35"/>
      <c r="N3" s="35"/>
      <c r="O3" s="35"/>
      <c r="P3" s="35"/>
      <c r="Q3" s="35"/>
      <c r="R3" s="35"/>
    </row>
    <row r="4" spans="1:18" ht="41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131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18" ht="16" customHeight="1">
      <c r="A5" s="6" t="s">
        <v>46</v>
      </c>
      <c r="B5" s="7">
        <v>13.098000841750842</v>
      </c>
      <c r="C5" s="7">
        <v>295.59249999999997</v>
      </c>
      <c r="D5" s="8">
        <v>29.377782655044836</v>
      </c>
      <c r="E5" s="8">
        <v>18.689189189189189</v>
      </c>
      <c r="F5" s="6">
        <v>0.9</v>
      </c>
      <c r="G5" s="9">
        <v>36.74</v>
      </c>
      <c r="H5" s="9">
        <f>D5*100/(3000*L5/1000)</f>
        <v>0.67535132540332954</v>
      </c>
      <c r="I5" s="6">
        <v>11</v>
      </c>
      <c r="J5" s="6">
        <v>0.85</v>
      </c>
      <c r="K5" s="6">
        <v>5000</v>
      </c>
      <c r="L5" s="6">
        <v>1450</v>
      </c>
      <c r="M5" s="6">
        <v>44.7</v>
      </c>
      <c r="N5" s="6">
        <v>1.865</v>
      </c>
      <c r="O5" s="9">
        <f t="shared" ref="O5:O9" si="0">M5*N5</f>
        <v>83.365500000000011</v>
      </c>
      <c r="P5" s="10">
        <f>((H5/100)*K5*L5)/I5*J5</f>
        <v>3783.5023116345619</v>
      </c>
      <c r="Q5" s="9">
        <f t="shared" ref="Q5:Q9" si="1">(21.37+(C5/(E5*F5))*((0.0037*G5)+(0.0000601*P5)-(0.00362*O5)))</f>
        <v>22.451537986241181</v>
      </c>
      <c r="R5" s="11">
        <f t="shared" ref="R5:R9" si="2">(44/28)*0.0075*(14/62)*Q5/N5</f>
        <v>3.2037566096426481E-2</v>
      </c>
    </row>
    <row r="6" spans="1:18" ht="16" customHeight="1">
      <c r="A6" s="6" t="s">
        <v>47</v>
      </c>
      <c r="B6" s="7">
        <v>13.777548326835603</v>
      </c>
      <c r="C6" s="7">
        <v>433.15689473684228</v>
      </c>
      <c r="D6" s="8">
        <v>33.470490139211137</v>
      </c>
      <c r="E6" s="8">
        <v>30.809090909090909</v>
      </c>
      <c r="F6" s="6">
        <v>0.9</v>
      </c>
      <c r="G6" s="9">
        <f>$G5</f>
        <v>36.74</v>
      </c>
      <c r="H6" s="9">
        <f t="shared" ref="H6:H9" si="3">D6*100/(3000*L6/1000)</f>
        <v>0.79691643188597949</v>
      </c>
      <c r="I6" s="6">
        <v>11</v>
      </c>
      <c r="J6" s="6">
        <v>0.85</v>
      </c>
      <c r="K6" s="6">
        <v>5000</v>
      </c>
      <c r="L6" s="6">
        <v>1400</v>
      </c>
      <c r="M6" s="6">
        <v>44.7</v>
      </c>
      <c r="N6" s="9">
        <f>$N5</f>
        <v>1.865</v>
      </c>
      <c r="O6" s="9">
        <f t="shared" si="0"/>
        <v>83.365500000000011</v>
      </c>
      <c r="P6" s="10">
        <f t="shared" ref="P6:P9" si="4">((H6/100)*K6*L6)/I6*J6</f>
        <v>4310.5934270196167</v>
      </c>
      <c r="Q6" s="9">
        <f t="shared" si="1"/>
        <v>22.826264227329041</v>
      </c>
      <c r="R6" s="11">
        <f t="shared" si="2"/>
        <v>3.2572287447109667E-2</v>
      </c>
    </row>
    <row r="7" spans="1:18" ht="16" customHeight="1">
      <c r="A7" s="6" t="s">
        <v>58</v>
      </c>
      <c r="B7" s="7">
        <v>13.698546788641128</v>
      </c>
      <c r="C7" s="7">
        <v>470.80577358490558</v>
      </c>
      <c r="D7" s="8">
        <v>33.397325195106504</v>
      </c>
      <c r="E7" s="8">
        <v>27.25</v>
      </c>
      <c r="F7" s="6">
        <v>0.9</v>
      </c>
      <c r="G7" s="9">
        <f>$G6</f>
        <v>36.74</v>
      </c>
      <c r="H7" s="9">
        <f t="shared" si="3"/>
        <v>0.80089508861166681</v>
      </c>
      <c r="I7" s="6">
        <v>11</v>
      </c>
      <c r="J7" s="6">
        <v>0.85</v>
      </c>
      <c r="K7" s="6">
        <v>5000</v>
      </c>
      <c r="L7" s="6">
        <v>1390</v>
      </c>
      <c r="M7" s="6">
        <v>44.7</v>
      </c>
      <c r="N7" s="9">
        <f>$N6</f>
        <v>1.865</v>
      </c>
      <c r="O7" s="9">
        <f t="shared" si="0"/>
        <v>83.365500000000011</v>
      </c>
      <c r="P7" s="10">
        <f t="shared" si="4"/>
        <v>4301.170669066747</v>
      </c>
      <c r="Q7" s="9">
        <f t="shared" si="1"/>
        <v>23.148700319667029</v>
      </c>
      <c r="R7" s="11">
        <f t="shared" si="2"/>
        <v>3.303239256892726E-2</v>
      </c>
    </row>
    <row r="8" spans="1:18" ht="16" customHeight="1">
      <c r="A8" s="6" t="s">
        <v>57</v>
      </c>
      <c r="B8" s="7">
        <v>12.647221121894322</v>
      </c>
      <c r="C8" s="7">
        <v>490.42917647058812</v>
      </c>
      <c r="D8" s="8">
        <v>39.8389518220281</v>
      </c>
      <c r="E8" s="8">
        <v>29.264705882352942</v>
      </c>
      <c r="F8" s="6">
        <v>0.9</v>
      </c>
      <c r="G8" s="9">
        <f>$G7</f>
        <v>36.74</v>
      </c>
      <c r="H8" s="9">
        <f t="shared" si="3"/>
        <v>0.96931756257975921</v>
      </c>
      <c r="I8" s="6">
        <v>11</v>
      </c>
      <c r="J8" s="6">
        <v>0.85</v>
      </c>
      <c r="K8" s="6">
        <v>5000</v>
      </c>
      <c r="L8" s="6">
        <v>1370</v>
      </c>
      <c r="M8" s="6">
        <v>44.7</v>
      </c>
      <c r="N8" s="9">
        <f>$N7</f>
        <v>1.865</v>
      </c>
      <c r="O8" s="9">
        <f t="shared" si="0"/>
        <v>83.365500000000011</v>
      </c>
      <c r="P8" s="10">
        <f t="shared" si="4"/>
        <v>5130.7740982914975</v>
      </c>
      <c r="Q8" s="9">
        <f t="shared" si="1"/>
        <v>24.023679169200349</v>
      </c>
      <c r="R8" s="11">
        <f t="shared" si="2"/>
        <v>3.428095704331105E-2</v>
      </c>
    </row>
    <row r="9" spans="1:18" ht="16" customHeight="1">
      <c r="A9" s="6" t="s">
        <v>30</v>
      </c>
      <c r="B9" s="7">
        <v>17.449252855578159</v>
      </c>
      <c r="C9" s="7">
        <v>982.49648192771087</v>
      </c>
      <c r="D9" s="8">
        <v>29.809454756380514</v>
      </c>
      <c r="E9" s="8">
        <v>21.96</v>
      </c>
      <c r="F9" s="6">
        <v>0.9</v>
      </c>
      <c r="G9" s="9">
        <f>$G8</f>
        <v>36.74</v>
      </c>
      <c r="H9" s="9">
        <f t="shared" si="3"/>
        <v>0.7047152424676244</v>
      </c>
      <c r="I9" s="6">
        <v>11</v>
      </c>
      <c r="J9" s="6">
        <v>0.85</v>
      </c>
      <c r="K9" s="6">
        <v>5000</v>
      </c>
      <c r="L9" s="6">
        <v>1410</v>
      </c>
      <c r="M9" s="6">
        <v>44.7</v>
      </c>
      <c r="N9" s="9">
        <f>$N8</f>
        <v>1.865</v>
      </c>
      <c r="O9" s="9">
        <f t="shared" si="0"/>
        <v>83.365500000000011</v>
      </c>
      <c r="P9" s="10">
        <f t="shared" si="4"/>
        <v>3839.0964458974904</v>
      </c>
      <c r="Q9" s="9">
        <f t="shared" si="1"/>
        <v>24.595504850627457</v>
      </c>
      <c r="R9" s="11">
        <f t="shared" si="2"/>
        <v>3.5096932460032253E-2</v>
      </c>
    </row>
    <row r="10" spans="1:18" ht="16" customHeight="1">
      <c r="D10" s="19"/>
      <c r="F10" s="19"/>
      <c r="P10" s="41" t="s">
        <v>59</v>
      </c>
      <c r="Q10" s="42">
        <f>AVERAGE(Q5:Q9)</f>
        <v>23.409137310613012</v>
      </c>
      <c r="R10" s="43">
        <f>AVERAGE(R5:R9)</f>
        <v>3.3404027123161345E-2</v>
      </c>
    </row>
    <row r="11" spans="1:18" ht="16" customHeight="1">
      <c r="F11" s="23"/>
      <c r="G11" s="23"/>
    </row>
    <row r="12" spans="1:18" ht="16" customHeight="1">
      <c r="A12" s="21" t="s">
        <v>121</v>
      </c>
      <c r="B12" s="21"/>
      <c r="C12" s="21"/>
      <c r="F12" s="23"/>
      <c r="G12" s="23"/>
    </row>
    <row r="13" spans="1:18" ht="16" customHeight="1">
      <c r="A13" s="33"/>
      <c r="F13" s="23"/>
      <c r="G13" s="23"/>
    </row>
    <row r="14" spans="1:18" ht="16" customHeight="1">
      <c r="A14" s="22" t="s">
        <v>101</v>
      </c>
      <c r="B14" s="35"/>
      <c r="C14" s="35"/>
      <c r="D14" s="35"/>
      <c r="E14" s="35"/>
      <c r="F14" s="23"/>
      <c r="G14" s="23"/>
      <c r="H14" s="35"/>
      <c r="I14" s="36"/>
      <c r="J14" s="35"/>
      <c r="K14" s="35"/>
      <c r="L14" s="35"/>
      <c r="M14" s="35"/>
      <c r="N14" s="35"/>
      <c r="O14" s="35"/>
      <c r="P14" s="35"/>
      <c r="Q14" s="35"/>
      <c r="R14" s="35"/>
    </row>
    <row r="15" spans="1:18" ht="41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131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18" ht="16" customHeight="1">
      <c r="A16" s="6" t="s">
        <v>46</v>
      </c>
      <c r="B16" s="7">
        <v>13.098000841750842</v>
      </c>
      <c r="C16" s="7">
        <v>295.59249999999997</v>
      </c>
      <c r="D16" s="8">
        <v>29.377782655044836</v>
      </c>
      <c r="E16" s="8">
        <v>18.689189189189189</v>
      </c>
      <c r="F16" s="6">
        <v>0.9</v>
      </c>
      <c r="G16" s="9">
        <f>'Summary N2O from residue'!H10*1000</f>
        <v>31.960444444444445</v>
      </c>
      <c r="H16" s="9">
        <f>D16*100/(3000*L16/1000)</f>
        <v>0.67535132540332954</v>
      </c>
      <c r="I16" s="6">
        <v>11</v>
      </c>
      <c r="J16" s="6">
        <v>0.85</v>
      </c>
      <c r="K16" s="6">
        <v>5000</v>
      </c>
      <c r="L16" s="6">
        <v>1450</v>
      </c>
      <c r="M16" s="6">
        <v>44.7</v>
      </c>
      <c r="N16" s="9">
        <f>N5</f>
        <v>1.865</v>
      </c>
      <c r="O16" s="9">
        <f t="shared" ref="O16:O20" si="5">M16*N16</f>
        <v>83.365500000000011</v>
      </c>
      <c r="P16" s="10">
        <f>((H16/100)*K16*L16)/I16*J16</f>
        <v>3783.5023116345619</v>
      </c>
      <c r="Q16" s="9">
        <f t="shared" ref="Q16:Q20" si="6">(21.37+(C16/(E16*F16))*((0.0037*G16)+(0.0000601*P16)-(0.00362*O16)))</f>
        <v>22.140760407429333</v>
      </c>
      <c r="R16" s="11">
        <f t="shared" ref="R16:R20" si="7">(44/28)*0.0075*(14/62)*Q16/N16</f>
        <v>3.1594097269098322E-2</v>
      </c>
    </row>
    <row r="17" spans="1:18" ht="16" customHeight="1">
      <c r="A17" s="6" t="s">
        <v>47</v>
      </c>
      <c r="B17" s="7">
        <v>13.777548326835603</v>
      </c>
      <c r="C17" s="7">
        <v>433.15689473684228</v>
      </c>
      <c r="D17" s="8">
        <v>33.470490139211137</v>
      </c>
      <c r="E17" s="8">
        <v>30.809090909090909</v>
      </c>
      <c r="F17" s="6">
        <v>0.9</v>
      </c>
      <c r="G17" s="9">
        <f>$G16</f>
        <v>31.960444444444445</v>
      </c>
      <c r="H17" s="9">
        <f t="shared" ref="H17:H20" si="8">D17*100/(3000*L17/1000)</f>
        <v>0.79691643188597949</v>
      </c>
      <c r="I17" s="6">
        <v>11</v>
      </c>
      <c r="J17" s="6">
        <v>0.85</v>
      </c>
      <c r="K17" s="6">
        <v>5000</v>
      </c>
      <c r="L17" s="6">
        <v>1400</v>
      </c>
      <c r="M17" s="6">
        <v>44.7</v>
      </c>
      <c r="N17" s="9">
        <f>$N16</f>
        <v>1.865</v>
      </c>
      <c r="O17" s="9">
        <f t="shared" si="5"/>
        <v>83.365500000000011</v>
      </c>
      <c r="P17" s="10">
        <f t="shared" ref="P17:P20" si="9">((H17/100)*K17*L17)/I17*J17</f>
        <v>4310.5934270196167</v>
      </c>
      <c r="Q17" s="9">
        <f t="shared" si="6"/>
        <v>22.550007363893307</v>
      </c>
      <c r="R17" s="11">
        <f t="shared" si="7"/>
        <v>3.2178078483459265E-2</v>
      </c>
    </row>
    <row r="18" spans="1:18" ht="16" customHeight="1">
      <c r="A18" s="6" t="s">
        <v>58</v>
      </c>
      <c r="B18" s="7">
        <v>13.698546788641128</v>
      </c>
      <c r="C18" s="7">
        <v>470.80577358490558</v>
      </c>
      <c r="D18" s="8">
        <v>33.397325195106504</v>
      </c>
      <c r="E18" s="8">
        <v>27.25</v>
      </c>
      <c r="F18" s="6">
        <v>0.9</v>
      </c>
      <c r="G18" s="9">
        <f>$G17</f>
        <v>31.960444444444445</v>
      </c>
      <c r="H18" s="9">
        <f t="shared" si="8"/>
        <v>0.80089508861166681</v>
      </c>
      <c r="I18" s="6">
        <v>11</v>
      </c>
      <c r="J18" s="6">
        <v>0.85</v>
      </c>
      <c r="K18" s="6">
        <v>5000</v>
      </c>
      <c r="L18" s="6">
        <v>1390</v>
      </c>
      <c r="M18" s="6">
        <v>44.7</v>
      </c>
      <c r="N18" s="9">
        <f>$N17</f>
        <v>1.865</v>
      </c>
      <c r="O18" s="9">
        <f t="shared" si="5"/>
        <v>83.365500000000011</v>
      </c>
      <c r="P18" s="10">
        <f t="shared" si="9"/>
        <v>4301.170669066747</v>
      </c>
      <c r="Q18" s="9">
        <f t="shared" si="6"/>
        <v>22.809214215785932</v>
      </c>
      <c r="R18" s="11">
        <f t="shared" si="7"/>
        <v>3.2547957671924914E-2</v>
      </c>
    </row>
    <row r="19" spans="1:18" ht="16" customHeight="1">
      <c r="A19" s="6" t="s">
        <v>57</v>
      </c>
      <c r="B19" s="7">
        <v>12.647221121894322</v>
      </c>
      <c r="C19" s="7">
        <v>490.42917647058812</v>
      </c>
      <c r="D19" s="8">
        <v>39.8389518220281</v>
      </c>
      <c r="E19" s="8">
        <v>29.264705882352942</v>
      </c>
      <c r="F19" s="6">
        <v>0.9</v>
      </c>
      <c r="G19" s="9">
        <f>$G18</f>
        <v>31.960444444444445</v>
      </c>
      <c r="H19" s="9">
        <f t="shared" si="8"/>
        <v>0.96931756257975921</v>
      </c>
      <c r="I19" s="6">
        <v>11</v>
      </c>
      <c r="J19" s="6">
        <v>0.85</v>
      </c>
      <c r="K19" s="6">
        <v>5000</v>
      </c>
      <c r="L19" s="6">
        <v>1370</v>
      </c>
      <c r="M19" s="6">
        <v>44.7</v>
      </c>
      <c r="N19" s="9">
        <f>$N18</f>
        <v>1.865</v>
      </c>
      <c r="O19" s="9">
        <f t="shared" si="5"/>
        <v>83.365500000000011</v>
      </c>
      <c r="P19" s="10">
        <f t="shared" si="9"/>
        <v>5130.7740982914975</v>
      </c>
      <c r="Q19" s="9">
        <f t="shared" si="6"/>
        <v>23.69438892501071</v>
      </c>
      <c r="R19" s="11">
        <f t="shared" si="7"/>
        <v>3.3811071284500269E-2</v>
      </c>
    </row>
    <row r="20" spans="1:18" ht="16" customHeight="1">
      <c r="A20" s="6" t="s">
        <v>30</v>
      </c>
      <c r="B20" s="7">
        <v>17.449252855578159</v>
      </c>
      <c r="C20" s="7">
        <v>982.49648192771087</v>
      </c>
      <c r="D20" s="8">
        <v>29.809454756380514</v>
      </c>
      <c r="E20" s="8">
        <v>21.96</v>
      </c>
      <c r="F20" s="6">
        <v>0.9</v>
      </c>
      <c r="G20" s="9">
        <f>$G19</f>
        <v>31.960444444444445</v>
      </c>
      <c r="H20" s="9">
        <f t="shared" si="8"/>
        <v>0.7047152424676244</v>
      </c>
      <c r="I20" s="6">
        <v>11</v>
      </c>
      <c r="J20" s="6">
        <v>0.85</v>
      </c>
      <c r="K20" s="6">
        <v>5000</v>
      </c>
      <c r="L20" s="6">
        <v>1410</v>
      </c>
      <c r="M20" s="6">
        <v>44.7</v>
      </c>
      <c r="N20" s="9">
        <f>$N19</f>
        <v>1.865</v>
      </c>
      <c r="O20" s="9">
        <f t="shared" si="5"/>
        <v>83.365500000000011</v>
      </c>
      <c r="P20" s="10">
        <f t="shared" si="9"/>
        <v>3839.0964458974904</v>
      </c>
      <c r="Q20" s="9">
        <f t="shared" si="6"/>
        <v>23.716390444713063</v>
      </c>
      <c r="R20" s="11">
        <f t="shared" si="7"/>
        <v>3.3842466690112039E-2</v>
      </c>
    </row>
    <row r="21" spans="1:18" ht="16" customHeight="1">
      <c r="D21" s="19"/>
      <c r="F21" s="19"/>
      <c r="P21" s="41" t="s">
        <v>59</v>
      </c>
      <c r="Q21" s="42">
        <f>AVERAGE(Q16:Q20)</f>
        <v>22.98215227136647</v>
      </c>
      <c r="R21" s="43">
        <f>AVERAGE(R16:R20)</f>
        <v>3.2794734279818959E-2</v>
      </c>
    </row>
    <row r="22" spans="1:18" ht="16" customHeight="1">
      <c r="B22" s="24"/>
      <c r="C22" s="24"/>
      <c r="I22" s="24"/>
      <c r="J22" s="24"/>
      <c r="K22" s="25"/>
      <c r="L22" s="24"/>
      <c r="M22" s="26"/>
      <c r="N22" s="26"/>
    </row>
    <row r="23" spans="1:18" ht="16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41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131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8" ht="16" customHeight="1">
      <c r="A25" s="6" t="s">
        <v>46</v>
      </c>
      <c r="B25" s="7">
        <v>13.098000841750842</v>
      </c>
      <c r="C25" s="7">
        <v>295.59249999999997</v>
      </c>
      <c r="D25" s="8">
        <v>29.377782655044836</v>
      </c>
      <c r="E25" s="8">
        <v>18.689189189189189</v>
      </c>
      <c r="F25" s="6">
        <v>0.9</v>
      </c>
      <c r="G25" s="9">
        <f>'Summary N2O from residue'!H11*1000</f>
        <v>42.164888888888889</v>
      </c>
      <c r="H25" s="9">
        <f>D25*100/(3000*L25/1000)</f>
        <v>0.67535132540332954</v>
      </c>
      <c r="I25" s="6">
        <v>11</v>
      </c>
      <c r="J25" s="6">
        <v>0.85</v>
      </c>
      <c r="K25" s="6">
        <v>5000</v>
      </c>
      <c r="L25" s="6">
        <v>1450</v>
      </c>
      <c r="M25" s="6">
        <v>44.7</v>
      </c>
      <c r="N25" s="9">
        <f>N16</f>
        <v>1.865</v>
      </c>
      <c r="O25" s="9">
        <f t="shared" ref="O25:O29" si="10">M25*N25</f>
        <v>83.365500000000011</v>
      </c>
      <c r="P25" s="10">
        <f>((H25/100)*K25*L25)/I25*J25</f>
        <v>3783.5023116345619</v>
      </c>
      <c r="Q25" s="9">
        <f t="shared" ref="Q25:Q29" si="11">(21.37+(C25/(E25*F25))*((0.0037*G25)+(0.0000601*P25)-(0.00362*O25)))</f>
        <v>22.804276606938359</v>
      </c>
      <c r="R25" s="11">
        <f t="shared" ref="R25:R29" si="12">(44/28)*0.0075*(14/62)*Q25/N25</f>
        <v>3.2540911875333638E-2</v>
      </c>
    </row>
    <row r="26" spans="1:18" ht="16" customHeight="1">
      <c r="A26" s="6" t="s">
        <v>47</v>
      </c>
      <c r="B26" s="7">
        <v>13.777548326835603</v>
      </c>
      <c r="C26" s="7">
        <v>433.15689473684228</v>
      </c>
      <c r="D26" s="8">
        <v>33.470490139211137</v>
      </c>
      <c r="E26" s="8">
        <v>30.809090909090909</v>
      </c>
      <c r="F26" s="6">
        <v>0.9</v>
      </c>
      <c r="G26" s="9">
        <f>$G25</f>
        <v>42.164888888888889</v>
      </c>
      <c r="H26" s="9">
        <f t="shared" ref="H26:H29" si="13">D26*100/(3000*L26/1000)</f>
        <v>0.79691643188597949</v>
      </c>
      <c r="I26" s="6">
        <v>11</v>
      </c>
      <c r="J26" s="6">
        <v>0.85</v>
      </c>
      <c r="K26" s="6">
        <v>5000</v>
      </c>
      <c r="L26" s="6">
        <v>1400</v>
      </c>
      <c r="M26" s="6">
        <v>44.7</v>
      </c>
      <c r="N26" s="9">
        <f>$N25</f>
        <v>1.865</v>
      </c>
      <c r="O26" s="9">
        <f t="shared" si="10"/>
        <v>83.365500000000011</v>
      </c>
      <c r="P26" s="10">
        <f t="shared" ref="P26:P29" si="14">((H26/100)*K26*L26)/I26*J26</f>
        <v>4310.5934270196167</v>
      </c>
      <c r="Q26" s="9">
        <f t="shared" si="11"/>
        <v>23.139821161966996</v>
      </c>
      <c r="R26" s="11">
        <f t="shared" si="12"/>
        <v>3.3019722318814788E-2</v>
      </c>
    </row>
    <row r="27" spans="1:18" ht="16" customHeight="1">
      <c r="A27" s="6" t="s">
        <v>58</v>
      </c>
      <c r="B27" s="7">
        <v>13.698546788641128</v>
      </c>
      <c r="C27" s="7">
        <v>470.80577358490558</v>
      </c>
      <c r="D27" s="8">
        <v>33.397325195106504</v>
      </c>
      <c r="E27" s="8">
        <v>27.25</v>
      </c>
      <c r="F27" s="6">
        <v>0.9</v>
      </c>
      <c r="G27" s="9">
        <f>$G26</f>
        <v>42.164888888888889</v>
      </c>
      <c r="H27" s="9">
        <f t="shared" si="13"/>
        <v>0.80089508861166681</v>
      </c>
      <c r="I27" s="6">
        <v>11</v>
      </c>
      <c r="J27" s="6">
        <v>0.85</v>
      </c>
      <c r="K27" s="6">
        <v>5000</v>
      </c>
      <c r="L27" s="6">
        <v>1390</v>
      </c>
      <c r="M27" s="6">
        <v>44.7</v>
      </c>
      <c r="N27" s="9">
        <f>$N26</f>
        <v>1.865</v>
      </c>
      <c r="O27" s="9">
        <f t="shared" si="10"/>
        <v>83.365500000000011</v>
      </c>
      <c r="P27" s="10">
        <f t="shared" si="14"/>
        <v>4301.170669066747</v>
      </c>
      <c r="Q27" s="9">
        <f t="shared" si="11"/>
        <v>23.5340236769269</v>
      </c>
      <c r="R27" s="11">
        <f t="shared" si="12"/>
        <v>3.3582235636884353E-2</v>
      </c>
    </row>
    <row r="28" spans="1:18" ht="16" customHeight="1">
      <c r="A28" s="6" t="s">
        <v>57</v>
      </c>
      <c r="B28" s="7">
        <v>12.647221121894322</v>
      </c>
      <c r="C28" s="7">
        <v>490.42917647058812</v>
      </c>
      <c r="D28" s="8">
        <v>39.8389518220281</v>
      </c>
      <c r="E28" s="8">
        <v>29.264705882352942</v>
      </c>
      <c r="F28" s="6">
        <v>0.9</v>
      </c>
      <c r="G28" s="9">
        <f>$G27</f>
        <v>42.164888888888889</v>
      </c>
      <c r="H28" s="9">
        <f t="shared" si="13"/>
        <v>0.96931756257975921</v>
      </c>
      <c r="I28" s="6">
        <v>11</v>
      </c>
      <c r="J28" s="6">
        <v>0.85</v>
      </c>
      <c r="K28" s="6">
        <v>5000</v>
      </c>
      <c r="L28" s="6">
        <v>1370</v>
      </c>
      <c r="M28" s="6">
        <v>44.7</v>
      </c>
      <c r="N28" s="9">
        <f>$N27</f>
        <v>1.865</v>
      </c>
      <c r="O28" s="9">
        <f t="shared" si="10"/>
        <v>83.365500000000011</v>
      </c>
      <c r="P28" s="10">
        <f t="shared" si="14"/>
        <v>5130.7740982914975</v>
      </c>
      <c r="Q28" s="9">
        <f t="shared" si="11"/>
        <v>24.39743002660957</v>
      </c>
      <c r="R28" s="11">
        <f t="shared" si="12"/>
        <v>3.4814286555310721E-2</v>
      </c>
    </row>
    <row r="29" spans="1:18" ht="16" customHeight="1">
      <c r="A29" s="6" t="s">
        <v>30</v>
      </c>
      <c r="B29" s="7">
        <v>17.449252855578159</v>
      </c>
      <c r="C29" s="7">
        <v>982.49648192771087</v>
      </c>
      <c r="D29" s="8">
        <v>29.809454756380514</v>
      </c>
      <c r="E29" s="8">
        <v>21.96</v>
      </c>
      <c r="F29" s="6">
        <v>0.9</v>
      </c>
      <c r="G29" s="9">
        <f>$G28</f>
        <v>42.164888888888889</v>
      </c>
      <c r="H29" s="9">
        <f t="shared" si="13"/>
        <v>0.7047152424676244</v>
      </c>
      <c r="I29" s="6">
        <v>11</v>
      </c>
      <c r="J29" s="6">
        <v>0.85</v>
      </c>
      <c r="K29" s="6">
        <v>5000</v>
      </c>
      <c r="L29" s="6">
        <v>1410</v>
      </c>
      <c r="M29" s="6">
        <v>44.7</v>
      </c>
      <c r="N29" s="9">
        <f>$N28</f>
        <v>1.865</v>
      </c>
      <c r="O29" s="9">
        <f t="shared" si="10"/>
        <v>83.365500000000011</v>
      </c>
      <c r="P29" s="10">
        <f t="shared" si="14"/>
        <v>3839.0964458974904</v>
      </c>
      <c r="Q29" s="9">
        <f t="shared" si="11"/>
        <v>25.593316868350268</v>
      </c>
      <c r="R29" s="11">
        <f t="shared" si="12"/>
        <v>3.6520775605619595E-2</v>
      </c>
    </row>
    <row r="30" spans="1:18" ht="16" customHeight="1">
      <c r="D30" s="19"/>
      <c r="F30" s="19"/>
      <c r="P30" s="41" t="s">
        <v>59</v>
      </c>
      <c r="Q30" s="42">
        <f>AVERAGE(Q25:Q29)</f>
        <v>23.893773668158417</v>
      </c>
      <c r="R30" s="43">
        <f>AVERAGE(R25:R29)</f>
        <v>3.4095586398392622E-2</v>
      </c>
    </row>
    <row r="32" spans="1:18" ht="16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41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131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8" ht="16" customHeight="1">
      <c r="A34" s="6" t="s">
        <v>46</v>
      </c>
      <c r="B34" s="7">
        <v>13.098000841750842</v>
      </c>
      <c r="C34" s="7">
        <v>295.59249999999997</v>
      </c>
      <c r="D34" s="8">
        <v>29.377782655044836</v>
      </c>
      <c r="E34" s="8">
        <v>18.689189189189189</v>
      </c>
      <c r="F34" s="6">
        <v>0.9</v>
      </c>
      <c r="G34" s="9">
        <f>'Summary N2O from residue'!H12*1000</f>
        <v>52.369333333333337</v>
      </c>
      <c r="H34" s="9">
        <f>D34*100/(3000*L34/1000)</f>
        <v>0.67535132540332954</v>
      </c>
      <c r="I34" s="6">
        <v>11</v>
      </c>
      <c r="J34" s="6">
        <v>0.85</v>
      </c>
      <c r="K34" s="6">
        <v>5000</v>
      </c>
      <c r="L34" s="6">
        <v>1450</v>
      </c>
      <c r="M34" s="6">
        <v>44.7</v>
      </c>
      <c r="N34" s="9">
        <f>N25</f>
        <v>1.865</v>
      </c>
      <c r="O34" s="9">
        <f t="shared" ref="O34:O38" si="15">M34*N34</f>
        <v>83.365500000000011</v>
      </c>
      <c r="P34" s="10">
        <f>((H34/100)*K34*L34)/I34*J34</f>
        <v>3783.5023116345619</v>
      </c>
      <c r="Q34" s="9">
        <f t="shared" ref="Q34:Q38" si="16">(21.37+(C34/(E34*F34))*((0.0037*G34)+(0.0000601*P34)-(0.00362*O34)))</f>
        <v>23.467792806447392</v>
      </c>
      <c r="R34" s="11">
        <f t="shared" ref="R34:R38" si="17">(44/28)*0.0075*(14/62)*Q34/N34</f>
        <v>3.3487726481568961E-2</v>
      </c>
    </row>
    <row r="35" spans="1:18" ht="16" customHeight="1">
      <c r="A35" s="6" t="s">
        <v>47</v>
      </c>
      <c r="B35" s="7">
        <v>13.777548326835603</v>
      </c>
      <c r="C35" s="7">
        <v>433.15689473684228</v>
      </c>
      <c r="D35" s="8">
        <v>33.470490139211137</v>
      </c>
      <c r="E35" s="8">
        <v>30.809090909090909</v>
      </c>
      <c r="F35" s="6">
        <v>0.9</v>
      </c>
      <c r="G35" s="9">
        <f>$G34</f>
        <v>52.369333333333337</v>
      </c>
      <c r="H35" s="9">
        <f t="shared" ref="H35:H38" si="18">D35*100/(3000*L35/1000)</f>
        <v>0.79691643188597949</v>
      </c>
      <c r="I35" s="6">
        <v>11</v>
      </c>
      <c r="J35" s="6">
        <v>0.85</v>
      </c>
      <c r="K35" s="6">
        <v>5000</v>
      </c>
      <c r="L35" s="6">
        <v>1400</v>
      </c>
      <c r="M35" s="6">
        <v>44.7</v>
      </c>
      <c r="N35" s="9">
        <f>$N34</f>
        <v>1.865</v>
      </c>
      <c r="O35" s="9">
        <f t="shared" si="15"/>
        <v>83.365500000000011</v>
      </c>
      <c r="P35" s="10">
        <f t="shared" ref="P35:P38" si="19">((H35/100)*K35*L35)/I35*J35</f>
        <v>4310.5934270196167</v>
      </c>
      <c r="Q35" s="9">
        <f t="shared" si="16"/>
        <v>23.729634960040684</v>
      </c>
      <c r="R35" s="11">
        <f t="shared" si="17"/>
        <v>3.3861366154170305E-2</v>
      </c>
    </row>
    <row r="36" spans="1:18" ht="16" customHeight="1">
      <c r="A36" s="6" t="s">
        <v>58</v>
      </c>
      <c r="B36" s="7">
        <v>13.698546788641128</v>
      </c>
      <c r="C36" s="7">
        <v>470.80577358490558</v>
      </c>
      <c r="D36" s="8">
        <v>33.397325195106504</v>
      </c>
      <c r="E36" s="8">
        <v>27.25</v>
      </c>
      <c r="F36" s="6">
        <v>0.9</v>
      </c>
      <c r="G36" s="9">
        <f>$G35</f>
        <v>52.369333333333337</v>
      </c>
      <c r="H36" s="9">
        <f t="shared" si="18"/>
        <v>0.80089508861166681</v>
      </c>
      <c r="I36" s="6">
        <v>11</v>
      </c>
      <c r="J36" s="6">
        <v>0.85</v>
      </c>
      <c r="K36" s="6">
        <v>5000</v>
      </c>
      <c r="L36" s="6">
        <v>1390</v>
      </c>
      <c r="M36" s="6">
        <v>44.7</v>
      </c>
      <c r="N36" s="9">
        <f>$N35</f>
        <v>1.865</v>
      </c>
      <c r="O36" s="9">
        <f t="shared" si="15"/>
        <v>83.365500000000011</v>
      </c>
      <c r="P36" s="10">
        <f t="shared" si="19"/>
        <v>4301.170669066747</v>
      </c>
      <c r="Q36" s="9">
        <f t="shared" si="16"/>
        <v>24.258833138067864</v>
      </c>
      <c r="R36" s="11">
        <f t="shared" si="17"/>
        <v>3.4616513601843792E-2</v>
      </c>
    </row>
    <row r="37" spans="1:18" ht="16" customHeight="1">
      <c r="A37" s="6" t="s">
        <v>57</v>
      </c>
      <c r="B37" s="7">
        <v>12.647221121894322</v>
      </c>
      <c r="C37" s="7">
        <v>490.42917647058812</v>
      </c>
      <c r="D37" s="8">
        <v>39.8389518220281</v>
      </c>
      <c r="E37" s="8">
        <v>29.264705882352942</v>
      </c>
      <c r="F37" s="6">
        <v>0.9</v>
      </c>
      <c r="G37" s="9">
        <f>$G36</f>
        <v>52.369333333333337</v>
      </c>
      <c r="H37" s="9">
        <f t="shared" si="18"/>
        <v>0.96931756257975921</v>
      </c>
      <c r="I37" s="6">
        <v>11</v>
      </c>
      <c r="J37" s="6">
        <v>0.85</v>
      </c>
      <c r="K37" s="6">
        <v>5000</v>
      </c>
      <c r="L37" s="6">
        <v>1370</v>
      </c>
      <c r="M37" s="6">
        <v>44.7</v>
      </c>
      <c r="N37" s="9">
        <f>$N36</f>
        <v>1.865</v>
      </c>
      <c r="O37" s="9">
        <f t="shared" si="15"/>
        <v>83.365500000000011</v>
      </c>
      <c r="P37" s="10">
        <f t="shared" si="19"/>
        <v>5130.7740982914975</v>
      </c>
      <c r="Q37" s="9">
        <f t="shared" si="16"/>
        <v>25.100471128208429</v>
      </c>
      <c r="R37" s="11">
        <f t="shared" si="17"/>
        <v>3.5817501826121159E-2</v>
      </c>
    </row>
    <row r="38" spans="1:18" ht="16" customHeight="1">
      <c r="A38" s="6" t="s">
        <v>30</v>
      </c>
      <c r="B38" s="7">
        <v>17.449252855578159</v>
      </c>
      <c r="C38" s="7">
        <v>982.49648192771087</v>
      </c>
      <c r="D38" s="8">
        <v>29.809454756380514</v>
      </c>
      <c r="E38" s="8">
        <v>21.96</v>
      </c>
      <c r="F38" s="6">
        <v>0.9</v>
      </c>
      <c r="G38" s="9">
        <f>$G37</f>
        <v>52.369333333333337</v>
      </c>
      <c r="H38" s="9">
        <f t="shared" si="18"/>
        <v>0.7047152424676244</v>
      </c>
      <c r="I38" s="6">
        <v>11</v>
      </c>
      <c r="J38" s="6">
        <v>0.85</v>
      </c>
      <c r="K38" s="6">
        <v>5000</v>
      </c>
      <c r="L38" s="6">
        <v>1410</v>
      </c>
      <c r="M38" s="6">
        <v>44.7</v>
      </c>
      <c r="N38" s="9">
        <f>$N37</f>
        <v>1.865</v>
      </c>
      <c r="O38" s="9">
        <f t="shared" si="15"/>
        <v>83.365500000000011</v>
      </c>
      <c r="P38" s="10">
        <f t="shared" si="19"/>
        <v>3839.0964458974904</v>
      </c>
      <c r="Q38" s="9">
        <f t="shared" si="16"/>
        <v>27.470243291987472</v>
      </c>
      <c r="R38" s="11">
        <f t="shared" si="17"/>
        <v>3.919908452112715E-2</v>
      </c>
    </row>
    <row r="39" spans="1:18" ht="16" customHeight="1">
      <c r="D39" s="19"/>
      <c r="F39" s="19"/>
      <c r="P39" s="41" t="s">
        <v>59</v>
      </c>
      <c r="Q39" s="42">
        <f>AVERAGE(Q34:Q38)</f>
        <v>24.805395064950368</v>
      </c>
      <c r="R39" s="43">
        <f>AVERAGE(R34:R38)</f>
        <v>3.5396438516966264E-2</v>
      </c>
    </row>
    <row r="41" spans="1:18" ht="16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18" ht="41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131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8" ht="16" customHeight="1">
      <c r="A43" s="6" t="s">
        <v>46</v>
      </c>
      <c r="B43" s="7">
        <v>13.098000841750842</v>
      </c>
      <c r="C43" s="7">
        <v>295.59249999999997</v>
      </c>
      <c r="D43" s="8">
        <v>29.377782655044836</v>
      </c>
      <c r="E43" s="8">
        <v>18.689189189189189</v>
      </c>
      <c r="F43" s="6">
        <v>0.9</v>
      </c>
      <c r="G43" s="9">
        <f>'Summary N2O from residue'!H13*1000</f>
        <v>53.716444444444434</v>
      </c>
      <c r="H43" s="9">
        <f>D43*100/(3000*L43/1000)</f>
        <v>0.67535132540332954</v>
      </c>
      <c r="I43" s="6">
        <v>11</v>
      </c>
      <c r="J43" s="6">
        <v>0.85</v>
      </c>
      <c r="K43" s="6">
        <v>5000</v>
      </c>
      <c r="L43" s="6">
        <v>1450</v>
      </c>
      <c r="M43" s="6">
        <v>44.7</v>
      </c>
      <c r="N43" s="9">
        <f>N34</f>
        <v>1.865</v>
      </c>
      <c r="O43" s="9">
        <f t="shared" ref="O43:O47" si="20">M43*N43</f>
        <v>83.365500000000011</v>
      </c>
      <c r="P43" s="10">
        <f>((H43/100)*K43*L43)/I43*J43</f>
        <v>3783.5023116345619</v>
      </c>
      <c r="Q43" s="9">
        <f t="shared" ref="Q43:Q47" si="21">(21.37+(C43/(E43*F43))*((0.0037*G43)+(0.0000601*P43)-(0.00362*O43)))</f>
        <v>23.555385036443553</v>
      </c>
      <c r="R43" s="11">
        <f t="shared" ref="R43:R47" si="22">(44/28)*0.0075*(14/62)*Q43/N43</f>
        <v>3.3612717556111608E-2</v>
      </c>
    </row>
    <row r="44" spans="1:18" ht="16" customHeight="1">
      <c r="A44" s="6" t="s">
        <v>47</v>
      </c>
      <c r="B44" s="7">
        <v>13.777548326835603</v>
      </c>
      <c r="C44" s="7">
        <v>433.15689473684228</v>
      </c>
      <c r="D44" s="8">
        <v>33.470490139211137</v>
      </c>
      <c r="E44" s="8">
        <v>30.809090909090909</v>
      </c>
      <c r="F44" s="6">
        <v>0.9</v>
      </c>
      <c r="G44" s="9">
        <f>$G43</f>
        <v>53.716444444444434</v>
      </c>
      <c r="H44" s="9">
        <f t="shared" ref="H44:H47" si="23">D44*100/(3000*L44/1000)</f>
        <v>0.79691643188597949</v>
      </c>
      <c r="I44" s="6">
        <v>11</v>
      </c>
      <c r="J44" s="6">
        <v>0.85</v>
      </c>
      <c r="K44" s="6">
        <v>5000</v>
      </c>
      <c r="L44" s="6">
        <v>1400</v>
      </c>
      <c r="M44" s="6">
        <v>44.7</v>
      </c>
      <c r="N44" s="9">
        <f>$N43</f>
        <v>1.865</v>
      </c>
      <c r="O44" s="9">
        <f t="shared" si="20"/>
        <v>83.365500000000011</v>
      </c>
      <c r="P44" s="10">
        <f t="shared" ref="P44:P47" si="24">((H44/100)*K44*L44)/I44*J44</f>
        <v>4310.5934270196167</v>
      </c>
      <c r="Q44" s="9">
        <f t="shared" si="21"/>
        <v>23.807497574237608</v>
      </c>
      <c r="R44" s="11">
        <f t="shared" si="22"/>
        <v>3.3972473404386451E-2</v>
      </c>
    </row>
    <row r="45" spans="1:18" ht="16" customHeight="1">
      <c r="A45" s="6" t="s">
        <v>58</v>
      </c>
      <c r="B45" s="7">
        <v>13.698546788641128</v>
      </c>
      <c r="C45" s="7">
        <v>470.80577358490558</v>
      </c>
      <c r="D45" s="8">
        <v>33.397325195106504</v>
      </c>
      <c r="E45" s="8">
        <v>27.25</v>
      </c>
      <c r="F45" s="6">
        <v>0.9</v>
      </c>
      <c r="G45" s="9">
        <f>$G44</f>
        <v>53.716444444444434</v>
      </c>
      <c r="H45" s="9">
        <f t="shared" si="23"/>
        <v>0.80089508861166681</v>
      </c>
      <c r="I45" s="6">
        <v>11</v>
      </c>
      <c r="J45" s="6">
        <v>0.85</v>
      </c>
      <c r="K45" s="6">
        <v>5000</v>
      </c>
      <c r="L45" s="6">
        <v>1390</v>
      </c>
      <c r="M45" s="6">
        <v>44.7</v>
      </c>
      <c r="N45" s="9">
        <f>$N44</f>
        <v>1.865</v>
      </c>
      <c r="O45" s="9">
        <f t="shared" si="20"/>
        <v>83.365500000000011</v>
      </c>
      <c r="P45" s="10">
        <f t="shared" si="24"/>
        <v>4301.170669066747</v>
      </c>
      <c r="Q45" s="9">
        <f t="shared" si="21"/>
        <v>24.354516826078239</v>
      </c>
      <c r="R45" s="11">
        <f t="shared" si="22"/>
        <v>3.4753050906364338E-2</v>
      </c>
    </row>
    <row r="46" spans="1:18" ht="16" customHeight="1">
      <c r="A46" s="6" t="s">
        <v>57</v>
      </c>
      <c r="B46" s="7">
        <v>12.647221121894322</v>
      </c>
      <c r="C46" s="7">
        <v>490.42917647058812</v>
      </c>
      <c r="D46" s="8">
        <v>39.8389518220281</v>
      </c>
      <c r="E46" s="8">
        <v>29.264705882352942</v>
      </c>
      <c r="F46" s="6">
        <v>0.9</v>
      </c>
      <c r="G46" s="9">
        <f>$G45</f>
        <v>53.716444444444434</v>
      </c>
      <c r="H46" s="9">
        <f t="shared" si="23"/>
        <v>0.96931756257975921</v>
      </c>
      <c r="I46" s="6">
        <v>11</v>
      </c>
      <c r="J46" s="6">
        <v>0.85</v>
      </c>
      <c r="K46" s="6">
        <v>5000</v>
      </c>
      <c r="L46" s="6">
        <v>1370</v>
      </c>
      <c r="M46" s="6">
        <v>44.7</v>
      </c>
      <c r="N46" s="9">
        <f>$N45</f>
        <v>1.865</v>
      </c>
      <c r="O46" s="9">
        <f t="shared" si="20"/>
        <v>83.365500000000011</v>
      </c>
      <c r="P46" s="10">
        <f t="shared" si="24"/>
        <v>5130.7740982914975</v>
      </c>
      <c r="Q46" s="9">
        <f t="shared" si="21"/>
        <v>25.193281127291449</v>
      </c>
      <c r="R46" s="11">
        <f t="shared" si="22"/>
        <v>3.5949938476200712E-2</v>
      </c>
    </row>
    <row r="47" spans="1:18" ht="16" customHeight="1">
      <c r="A47" s="6" t="s">
        <v>30</v>
      </c>
      <c r="B47" s="7">
        <v>17.449252855578159</v>
      </c>
      <c r="C47" s="7">
        <v>982.49648192771087</v>
      </c>
      <c r="D47" s="8">
        <v>29.809454756380514</v>
      </c>
      <c r="E47" s="8">
        <v>21.96</v>
      </c>
      <c r="F47" s="6">
        <v>0.9</v>
      </c>
      <c r="G47" s="9">
        <f>$G46</f>
        <v>53.716444444444434</v>
      </c>
      <c r="H47" s="9">
        <f t="shared" si="23"/>
        <v>0.7047152424676244</v>
      </c>
      <c r="I47" s="6">
        <v>11</v>
      </c>
      <c r="J47" s="6">
        <v>0.85</v>
      </c>
      <c r="K47" s="6">
        <v>5000</v>
      </c>
      <c r="L47" s="6">
        <v>1410</v>
      </c>
      <c r="M47" s="6">
        <v>44.7</v>
      </c>
      <c r="N47" s="9">
        <f>$N46</f>
        <v>1.865</v>
      </c>
      <c r="O47" s="9">
        <f t="shared" si="20"/>
        <v>83.365500000000011</v>
      </c>
      <c r="P47" s="10">
        <f t="shared" si="24"/>
        <v>3839.0964458974904</v>
      </c>
      <c r="Q47" s="9">
        <f t="shared" si="21"/>
        <v>27.718020469254213</v>
      </c>
      <c r="R47" s="11">
        <f t="shared" si="22"/>
        <v>3.9552653960277996E-2</v>
      </c>
    </row>
    <row r="48" spans="1:18" ht="16" customHeight="1">
      <c r="D48" s="19"/>
      <c r="F48" s="19"/>
      <c r="P48" s="41" t="s">
        <v>59</v>
      </c>
      <c r="Q48" s="42">
        <f>AVERAGE(Q43:Q47)</f>
        <v>24.925740206661011</v>
      </c>
      <c r="R48" s="43">
        <f>AVERAGE(R43:R47)</f>
        <v>3.5568166860668222E-2</v>
      </c>
    </row>
    <row r="50" spans="1:18" ht="16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41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131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8" ht="16" customHeight="1">
      <c r="A52" s="6" t="s">
        <v>46</v>
      </c>
      <c r="B52" s="7">
        <v>13.098000841750842</v>
      </c>
      <c r="C52" s="7">
        <v>295.59249999999997</v>
      </c>
      <c r="D52" s="8">
        <v>29.377782655044836</v>
      </c>
      <c r="E52" s="8">
        <v>18.689189189189189</v>
      </c>
      <c r="F52" s="6">
        <v>0.9</v>
      </c>
      <c r="G52" s="9">
        <f>'Summary N2O from residue'!H14*1000</f>
        <v>63.920888888888889</v>
      </c>
      <c r="H52" s="9">
        <f>D52*100/(3000*L52/1000)</f>
        <v>0.67535132540332954</v>
      </c>
      <c r="I52" s="6">
        <v>11</v>
      </c>
      <c r="J52" s="6">
        <v>0.85</v>
      </c>
      <c r="K52" s="6">
        <v>5000</v>
      </c>
      <c r="L52" s="6">
        <v>1450</v>
      </c>
      <c r="M52" s="6">
        <v>44.7</v>
      </c>
      <c r="N52" s="9">
        <f>N43</f>
        <v>1.865</v>
      </c>
      <c r="O52" s="9">
        <f t="shared" ref="O52:O56" si="25">M52*N52</f>
        <v>83.365500000000011</v>
      </c>
      <c r="P52" s="10">
        <f>((H52/100)*K52*L52)/I52*J52</f>
        <v>3783.5023116345619</v>
      </c>
      <c r="Q52" s="9">
        <f t="shared" ref="Q52:Q56" si="26">(21.37+(C52/(E52*F52))*((0.0037*G52)+(0.0000601*P52)-(0.00362*O52)))</f>
        <v>24.218901235952583</v>
      </c>
      <c r="R52" s="11">
        <f t="shared" ref="R52:R56" si="27">(44/28)*0.0075*(14/62)*Q52/N52</f>
        <v>3.4559532162346931E-2</v>
      </c>
    </row>
    <row r="53" spans="1:18" ht="16" customHeight="1">
      <c r="A53" s="6" t="s">
        <v>47</v>
      </c>
      <c r="B53" s="7">
        <v>13.777548326835603</v>
      </c>
      <c r="C53" s="7">
        <v>433.15689473684228</v>
      </c>
      <c r="D53" s="8">
        <v>33.470490139211137</v>
      </c>
      <c r="E53" s="8">
        <v>30.809090909090909</v>
      </c>
      <c r="F53" s="6">
        <v>0.9</v>
      </c>
      <c r="G53" s="9">
        <f>$G52</f>
        <v>63.920888888888889</v>
      </c>
      <c r="H53" s="9">
        <f t="shared" ref="H53:H56" si="28">D53*100/(3000*L53/1000)</f>
        <v>0.79691643188597949</v>
      </c>
      <c r="I53" s="6">
        <v>11</v>
      </c>
      <c r="J53" s="6">
        <v>0.85</v>
      </c>
      <c r="K53" s="6">
        <v>5000</v>
      </c>
      <c r="L53" s="6">
        <v>1400</v>
      </c>
      <c r="M53" s="6">
        <v>44.7</v>
      </c>
      <c r="N53" s="9">
        <f>$N52</f>
        <v>1.865</v>
      </c>
      <c r="O53" s="9">
        <f t="shared" si="25"/>
        <v>83.365500000000011</v>
      </c>
      <c r="P53" s="10">
        <f t="shared" ref="P53:P56" si="29">((H53/100)*K53*L53)/I53*J53</f>
        <v>4310.5934270196167</v>
      </c>
      <c r="Q53" s="9">
        <f t="shared" si="26"/>
        <v>24.3973113723113</v>
      </c>
      <c r="R53" s="11">
        <f t="shared" si="27"/>
        <v>3.4814117239741968E-2</v>
      </c>
    </row>
    <row r="54" spans="1:18" ht="16" customHeight="1">
      <c r="A54" s="6" t="s">
        <v>58</v>
      </c>
      <c r="B54" s="7">
        <v>13.698546788641128</v>
      </c>
      <c r="C54" s="7">
        <v>470.80577358490558</v>
      </c>
      <c r="D54" s="8">
        <v>33.397325195106504</v>
      </c>
      <c r="E54" s="8">
        <v>27.25</v>
      </c>
      <c r="F54" s="6">
        <v>0.9</v>
      </c>
      <c r="G54" s="9">
        <f>$G53</f>
        <v>63.920888888888889</v>
      </c>
      <c r="H54" s="9">
        <f t="shared" si="28"/>
        <v>0.80089508861166681</v>
      </c>
      <c r="I54" s="6">
        <v>11</v>
      </c>
      <c r="J54" s="6">
        <v>0.85</v>
      </c>
      <c r="K54" s="6">
        <v>5000</v>
      </c>
      <c r="L54" s="6">
        <v>1390</v>
      </c>
      <c r="M54" s="6">
        <v>44.7</v>
      </c>
      <c r="N54" s="9">
        <f>$N53</f>
        <v>1.865</v>
      </c>
      <c r="O54" s="9">
        <f t="shared" si="25"/>
        <v>83.365500000000011</v>
      </c>
      <c r="P54" s="10">
        <f t="shared" si="29"/>
        <v>4301.170669066747</v>
      </c>
      <c r="Q54" s="9">
        <f t="shared" si="26"/>
        <v>25.079326287219207</v>
      </c>
      <c r="R54" s="11">
        <f t="shared" si="27"/>
        <v>3.5787328871323777E-2</v>
      </c>
    </row>
    <row r="55" spans="1:18" ht="16" customHeight="1">
      <c r="A55" s="6" t="s">
        <v>57</v>
      </c>
      <c r="B55" s="7">
        <v>12.647221121894322</v>
      </c>
      <c r="C55" s="7">
        <v>490.42917647058812</v>
      </c>
      <c r="D55" s="8">
        <v>39.8389518220281</v>
      </c>
      <c r="E55" s="8">
        <v>29.264705882352942</v>
      </c>
      <c r="F55" s="6">
        <v>0.9</v>
      </c>
      <c r="G55" s="9">
        <f>$G54</f>
        <v>63.920888888888889</v>
      </c>
      <c r="H55" s="9">
        <f t="shared" si="28"/>
        <v>0.96931756257975921</v>
      </c>
      <c r="I55" s="6">
        <v>11</v>
      </c>
      <c r="J55" s="6">
        <v>0.85</v>
      </c>
      <c r="K55" s="6">
        <v>5000</v>
      </c>
      <c r="L55" s="6">
        <v>1370</v>
      </c>
      <c r="M55" s="6">
        <v>44.7</v>
      </c>
      <c r="N55" s="9">
        <f>$N54</f>
        <v>1.865</v>
      </c>
      <c r="O55" s="9">
        <f t="shared" si="25"/>
        <v>83.365500000000011</v>
      </c>
      <c r="P55" s="10">
        <f t="shared" si="29"/>
        <v>5130.7740982914975</v>
      </c>
      <c r="Q55" s="9">
        <f t="shared" si="26"/>
        <v>25.896322228890305</v>
      </c>
      <c r="R55" s="11">
        <f t="shared" si="27"/>
        <v>3.6953153747011157E-2</v>
      </c>
    </row>
    <row r="56" spans="1:18" ht="16" customHeight="1">
      <c r="A56" s="6" t="s">
        <v>30</v>
      </c>
      <c r="B56" s="7">
        <v>17.449252855578159</v>
      </c>
      <c r="C56" s="7">
        <v>982.49648192771087</v>
      </c>
      <c r="D56" s="8">
        <v>29.809454756380514</v>
      </c>
      <c r="E56" s="8">
        <v>21.96</v>
      </c>
      <c r="F56" s="6">
        <v>0.9</v>
      </c>
      <c r="G56" s="9">
        <f>$G55</f>
        <v>63.920888888888889</v>
      </c>
      <c r="H56" s="9">
        <f t="shared" si="28"/>
        <v>0.7047152424676244</v>
      </c>
      <c r="I56" s="6">
        <v>11</v>
      </c>
      <c r="J56" s="6">
        <v>0.85</v>
      </c>
      <c r="K56" s="6">
        <v>5000</v>
      </c>
      <c r="L56" s="6">
        <v>1410</v>
      </c>
      <c r="M56" s="6">
        <v>44.7</v>
      </c>
      <c r="N56" s="9">
        <f>$N55</f>
        <v>1.865</v>
      </c>
      <c r="O56" s="9">
        <f t="shared" si="25"/>
        <v>83.365500000000011</v>
      </c>
      <c r="P56" s="10">
        <f t="shared" si="29"/>
        <v>3839.0964458974904</v>
      </c>
      <c r="Q56" s="9">
        <f t="shared" si="26"/>
        <v>29.594946892891421</v>
      </c>
      <c r="R56" s="11">
        <f t="shared" si="27"/>
        <v>4.2230962875785559E-2</v>
      </c>
    </row>
    <row r="57" spans="1:18" ht="16" customHeight="1">
      <c r="D57" s="19"/>
      <c r="F57" s="19"/>
      <c r="P57" s="41" t="s">
        <v>59</v>
      </c>
      <c r="Q57" s="42">
        <f>AVERAGE(Q52:Q56)</f>
        <v>25.837361603452962</v>
      </c>
      <c r="R57" s="43">
        <f>AVERAGE(R52:R56)</f>
        <v>3.6869018979241878E-2</v>
      </c>
    </row>
    <row r="59" spans="1:18" ht="16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41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131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6" customHeight="1">
      <c r="A61" s="6" t="s">
        <v>46</v>
      </c>
      <c r="B61" s="7">
        <v>13.098000841750842</v>
      </c>
      <c r="C61" s="7">
        <v>295.59249999999997</v>
      </c>
      <c r="D61" s="8">
        <v>29.377782655044836</v>
      </c>
      <c r="E61" s="8">
        <v>18.689189189189189</v>
      </c>
      <c r="F61" s="6">
        <v>0.9</v>
      </c>
      <c r="G61" s="9">
        <f>'Summary N2O from residue'!H15*1000</f>
        <v>74.12533333333333</v>
      </c>
      <c r="H61" s="9">
        <f>D61*100/(3000*L61/1000)</f>
        <v>0.67535132540332954</v>
      </c>
      <c r="I61" s="6">
        <v>11</v>
      </c>
      <c r="J61" s="6">
        <v>0.85</v>
      </c>
      <c r="K61" s="6">
        <v>5000</v>
      </c>
      <c r="L61" s="6">
        <v>1450</v>
      </c>
      <c r="M61" s="6">
        <v>44.7</v>
      </c>
      <c r="N61" s="9">
        <f>N52</f>
        <v>1.865</v>
      </c>
      <c r="O61" s="9">
        <f t="shared" ref="O61:O65" si="30">M61*N61</f>
        <v>83.365500000000011</v>
      </c>
      <c r="P61" s="10">
        <f>((H61/100)*K61*L61)/I61*J61</f>
        <v>3783.5023116345619</v>
      </c>
      <c r="Q61" s="9">
        <f t="shared" ref="Q61:Q65" si="31">(21.37+(C61/(E61*F61))*((0.0037*G61)+(0.0000601*P61)-(0.00362*O61)))</f>
        <v>24.882417435461608</v>
      </c>
      <c r="R61" s="11">
        <f t="shared" ref="R61:R65" si="32">(44/28)*0.0075*(14/62)*Q61/N61</f>
        <v>3.5506346768582241E-2</v>
      </c>
    </row>
    <row r="62" spans="1:18" ht="16" customHeight="1">
      <c r="A62" s="6" t="s">
        <v>47</v>
      </c>
      <c r="B62" s="7">
        <v>13.777548326835603</v>
      </c>
      <c r="C62" s="7">
        <v>433.15689473684228</v>
      </c>
      <c r="D62" s="8">
        <v>33.470490139211137</v>
      </c>
      <c r="E62" s="8">
        <v>30.809090909090909</v>
      </c>
      <c r="F62" s="6">
        <v>0.9</v>
      </c>
      <c r="G62" s="9">
        <f>$G61</f>
        <v>74.12533333333333</v>
      </c>
      <c r="H62" s="9">
        <f t="shared" ref="H62:H65" si="33">D62*100/(3000*L62/1000)</f>
        <v>0.79691643188597949</v>
      </c>
      <c r="I62" s="6">
        <v>11</v>
      </c>
      <c r="J62" s="6">
        <v>0.85</v>
      </c>
      <c r="K62" s="6">
        <v>5000</v>
      </c>
      <c r="L62" s="6">
        <v>1400</v>
      </c>
      <c r="M62" s="6">
        <v>44.7</v>
      </c>
      <c r="N62" s="9">
        <f>$N61</f>
        <v>1.865</v>
      </c>
      <c r="O62" s="9">
        <f t="shared" si="30"/>
        <v>83.365500000000011</v>
      </c>
      <c r="P62" s="10">
        <f t="shared" ref="P62:P65" si="34">((H62/100)*K62*L62)/I62*J62</f>
        <v>4310.5934270196167</v>
      </c>
      <c r="Q62" s="9">
        <f t="shared" si="31"/>
        <v>24.987125170384989</v>
      </c>
      <c r="R62" s="11">
        <f t="shared" si="32"/>
        <v>3.5655761075097485E-2</v>
      </c>
    </row>
    <row r="63" spans="1:18" ht="16" customHeight="1">
      <c r="A63" s="6" t="s">
        <v>58</v>
      </c>
      <c r="B63" s="7">
        <v>13.698546788641128</v>
      </c>
      <c r="C63" s="7">
        <v>470.80577358490558</v>
      </c>
      <c r="D63" s="8">
        <v>33.397325195106504</v>
      </c>
      <c r="E63" s="8">
        <v>27.25</v>
      </c>
      <c r="F63" s="6">
        <v>0.9</v>
      </c>
      <c r="G63" s="9">
        <f>$G62</f>
        <v>74.12533333333333</v>
      </c>
      <c r="H63" s="9">
        <f t="shared" si="33"/>
        <v>0.80089508861166681</v>
      </c>
      <c r="I63" s="6">
        <v>11</v>
      </c>
      <c r="J63" s="6">
        <v>0.85</v>
      </c>
      <c r="K63" s="6">
        <v>5000</v>
      </c>
      <c r="L63" s="6">
        <v>1390</v>
      </c>
      <c r="M63" s="6">
        <v>44.7</v>
      </c>
      <c r="N63" s="9">
        <f>$N62</f>
        <v>1.865</v>
      </c>
      <c r="O63" s="9">
        <f t="shared" si="30"/>
        <v>83.365500000000011</v>
      </c>
      <c r="P63" s="10">
        <f t="shared" si="34"/>
        <v>4301.170669066747</v>
      </c>
      <c r="Q63" s="9">
        <f t="shared" si="31"/>
        <v>25.804135748360171</v>
      </c>
      <c r="R63" s="11">
        <f t="shared" si="32"/>
        <v>3.6821606836283209E-2</v>
      </c>
    </row>
    <row r="64" spans="1:18" ht="16" customHeight="1">
      <c r="A64" s="6" t="s">
        <v>57</v>
      </c>
      <c r="B64" s="7">
        <v>12.647221121894322</v>
      </c>
      <c r="C64" s="7">
        <v>490.42917647058812</v>
      </c>
      <c r="D64" s="8">
        <v>39.8389518220281</v>
      </c>
      <c r="E64" s="8">
        <v>29.264705882352942</v>
      </c>
      <c r="F64" s="6">
        <v>0.9</v>
      </c>
      <c r="G64" s="9">
        <f>$G63</f>
        <v>74.12533333333333</v>
      </c>
      <c r="H64" s="9">
        <f t="shared" si="33"/>
        <v>0.96931756257975921</v>
      </c>
      <c r="I64" s="6">
        <v>11</v>
      </c>
      <c r="J64" s="6">
        <v>0.85</v>
      </c>
      <c r="K64" s="6">
        <v>5000</v>
      </c>
      <c r="L64" s="6">
        <v>1370</v>
      </c>
      <c r="M64" s="6">
        <v>44.7</v>
      </c>
      <c r="N64" s="9">
        <f>$N63</f>
        <v>1.865</v>
      </c>
      <c r="O64" s="9">
        <f t="shared" si="30"/>
        <v>83.365500000000011</v>
      </c>
      <c r="P64" s="10">
        <f t="shared" si="34"/>
        <v>5130.7740982914975</v>
      </c>
      <c r="Q64" s="9">
        <f t="shared" si="31"/>
        <v>26.599363330489165</v>
      </c>
      <c r="R64" s="11">
        <f t="shared" si="32"/>
        <v>3.7956369017821602E-2</v>
      </c>
    </row>
    <row r="65" spans="1:18" ht="16" customHeight="1">
      <c r="A65" s="6" t="s">
        <v>30</v>
      </c>
      <c r="B65" s="7">
        <v>17.449252855578159</v>
      </c>
      <c r="C65" s="7">
        <v>982.49648192771087</v>
      </c>
      <c r="D65" s="8">
        <v>29.809454756380514</v>
      </c>
      <c r="E65" s="8">
        <v>21.96</v>
      </c>
      <c r="F65" s="6">
        <v>0.9</v>
      </c>
      <c r="G65" s="9">
        <f>$G64</f>
        <v>74.12533333333333</v>
      </c>
      <c r="H65" s="9">
        <f t="shared" si="33"/>
        <v>0.7047152424676244</v>
      </c>
      <c r="I65" s="6">
        <v>11</v>
      </c>
      <c r="J65" s="6">
        <v>0.85</v>
      </c>
      <c r="K65" s="6">
        <v>5000</v>
      </c>
      <c r="L65" s="6">
        <v>1410</v>
      </c>
      <c r="M65" s="6">
        <v>44.7</v>
      </c>
      <c r="N65" s="9">
        <f>$N64</f>
        <v>1.865</v>
      </c>
      <c r="O65" s="9">
        <f t="shared" si="30"/>
        <v>83.365500000000011</v>
      </c>
      <c r="P65" s="10">
        <f t="shared" si="34"/>
        <v>3839.0964458974904</v>
      </c>
      <c r="Q65" s="9">
        <f t="shared" si="31"/>
        <v>31.471873316528622</v>
      </c>
      <c r="R65" s="11">
        <f t="shared" si="32"/>
        <v>4.4909271791293108E-2</v>
      </c>
    </row>
    <row r="66" spans="1:18" ht="16" customHeight="1">
      <c r="D66" s="19"/>
      <c r="F66" s="19"/>
      <c r="P66" s="41" t="s">
        <v>59</v>
      </c>
      <c r="Q66" s="42">
        <f>AVERAGE(Q61:Q65)</f>
        <v>26.748983000244912</v>
      </c>
      <c r="R66" s="43">
        <f>AVERAGE(R61:R65)</f>
        <v>3.8169871097815528E-2</v>
      </c>
    </row>
    <row r="68" spans="1:18" ht="16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8" ht="41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131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6" customHeight="1">
      <c r="A70" s="6" t="s">
        <v>46</v>
      </c>
      <c r="B70" s="7">
        <v>13.098000841750842</v>
      </c>
      <c r="C70" s="7">
        <v>295.59249999999997</v>
      </c>
      <c r="D70" s="8">
        <v>29.377782655044836</v>
      </c>
      <c r="E70" s="8">
        <v>18.689189189189189</v>
      </c>
      <c r="F70" s="6">
        <v>0.9</v>
      </c>
      <c r="G70" s="9">
        <f>'Summary N2O from residue'!H16*1000</f>
        <v>75.47244444444442</v>
      </c>
      <c r="H70" s="9">
        <f>D70*100/(3000*L70/1000)</f>
        <v>0.67535132540332954</v>
      </c>
      <c r="I70" s="6">
        <v>11</v>
      </c>
      <c r="J70" s="6">
        <v>0.85</v>
      </c>
      <c r="K70" s="6">
        <v>5000</v>
      </c>
      <c r="L70" s="6">
        <v>1450</v>
      </c>
      <c r="M70" s="6">
        <v>44.7</v>
      </c>
      <c r="N70" s="9">
        <f>N61</f>
        <v>1.865</v>
      </c>
      <c r="O70" s="9">
        <f t="shared" ref="O70:O74" si="35">M70*N70</f>
        <v>83.365500000000011</v>
      </c>
      <c r="P70" s="10">
        <f>((H70/100)*K70*L70)/I70*J70</f>
        <v>3783.5023116345619</v>
      </c>
      <c r="Q70" s="9">
        <f t="shared" ref="Q70:Q74" si="36">(21.37+(C70/(E70*F70))*((0.0037*G70)+(0.0000601*P70)-(0.00362*O70)))</f>
        <v>24.97000966545777</v>
      </c>
      <c r="R70" s="11">
        <f t="shared" ref="R70:R74" si="37">(44/28)*0.0075*(14/62)*Q70/N70</f>
        <v>3.5631337843124895E-2</v>
      </c>
    </row>
    <row r="71" spans="1:18" ht="16" customHeight="1">
      <c r="A71" s="6" t="s">
        <v>47</v>
      </c>
      <c r="B71" s="7">
        <v>13.777548326835603</v>
      </c>
      <c r="C71" s="7">
        <v>433.15689473684228</v>
      </c>
      <c r="D71" s="8">
        <v>33.470490139211137</v>
      </c>
      <c r="E71" s="8">
        <v>30.809090909090909</v>
      </c>
      <c r="F71" s="6">
        <v>0.9</v>
      </c>
      <c r="G71" s="9">
        <f>$G70</f>
        <v>75.47244444444442</v>
      </c>
      <c r="H71" s="9">
        <f t="shared" ref="H71:H74" si="38">D71*100/(3000*L71/1000)</f>
        <v>0.79691643188597949</v>
      </c>
      <c r="I71" s="6">
        <v>11</v>
      </c>
      <c r="J71" s="6">
        <v>0.85</v>
      </c>
      <c r="K71" s="6">
        <v>5000</v>
      </c>
      <c r="L71" s="6">
        <v>1400</v>
      </c>
      <c r="M71" s="6">
        <v>44.7</v>
      </c>
      <c r="N71" s="9">
        <f>$N70</f>
        <v>1.865</v>
      </c>
      <c r="O71" s="9">
        <f t="shared" si="35"/>
        <v>83.365500000000011</v>
      </c>
      <c r="P71" s="10">
        <f t="shared" ref="P71:P74" si="39">((H71/100)*K71*L71)/I71*J71</f>
        <v>4310.5934270196167</v>
      </c>
      <c r="Q71" s="9">
        <f t="shared" si="36"/>
        <v>25.064987784581909</v>
      </c>
      <c r="R71" s="11">
        <f t="shared" si="37"/>
        <v>3.5766868325313624E-2</v>
      </c>
    </row>
    <row r="72" spans="1:18" ht="16" customHeight="1">
      <c r="A72" s="6" t="s">
        <v>58</v>
      </c>
      <c r="B72" s="7">
        <v>13.698546788641128</v>
      </c>
      <c r="C72" s="7">
        <v>470.80577358490558</v>
      </c>
      <c r="D72" s="8">
        <v>33.397325195106504</v>
      </c>
      <c r="E72" s="8">
        <v>27.25</v>
      </c>
      <c r="F72" s="6">
        <v>0.9</v>
      </c>
      <c r="G72" s="9">
        <f>$G71</f>
        <v>75.47244444444442</v>
      </c>
      <c r="H72" s="9">
        <f t="shared" si="38"/>
        <v>0.80089508861166681</v>
      </c>
      <c r="I72" s="6">
        <v>11</v>
      </c>
      <c r="J72" s="6">
        <v>0.85</v>
      </c>
      <c r="K72" s="6">
        <v>5000</v>
      </c>
      <c r="L72" s="6">
        <v>1390</v>
      </c>
      <c r="M72" s="6">
        <v>44.7</v>
      </c>
      <c r="N72" s="9">
        <f>$N71</f>
        <v>1.865</v>
      </c>
      <c r="O72" s="9">
        <f t="shared" si="35"/>
        <v>83.365500000000011</v>
      </c>
      <c r="P72" s="10">
        <f t="shared" si="39"/>
        <v>4301.170669066747</v>
      </c>
      <c r="Q72" s="9">
        <f t="shared" si="36"/>
        <v>25.899819436370546</v>
      </c>
      <c r="R72" s="11">
        <f t="shared" si="37"/>
        <v>3.6958144140803763E-2</v>
      </c>
    </row>
    <row r="73" spans="1:18" ht="16" customHeight="1">
      <c r="A73" s="6" t="s">
        <v>57</v>
      </c>
      <c r="B73" s="7">
        <v>12.647221121894322</v>
      </c>
      <c r="C73" s="7">
        <v>490.42917647058812</v>
      </c>
      <c r="D73" s="8">
        <v>39.8389518220281</v>
      </c>
      <c r="E73" s="8">
        <v>29.264705882352942</v>
      </c>
      <c r="F73" s="6">
        <v>0.9</v>
      </c>
      <c r="G73" s="9">
        <f>$G72</f>
        <v>75.47244444444442</v>
      </c>
      <c r="H73" s="9">
        <f t="shared" si="38"/>
        <v>0.96931756257975921</v>
      </c>
      <c r="I73" s="6">
        <v>11</v>
      </c>
      <c r="J73" s="6">
        <v>0.85</v>
      </c>
      <c r="K73" s="6">
        <v>5000</v>
      </c>
      <c r="L73" s="6">
        <v>1370</v>
      </c>
      <c r="M73" s="6">
        <v>44.7</v>
      </c>
      <c r="N73" s="9">
        <f>$N72</f>
        <v>1.865</v>
      </c>
      <c r="O73" s="9">
        <f t="shared" si="35"/>
        <v>83.365500000000011</v>
      </c>
      <c r="P73" s="10">
        <f t="shared" si="39"/>
        <v>5130.7740982914975</v>
      </c>
      <c r="Q73" s="9">
        <f t="shared" si="36"/>
        <v>26.692173329572185</v>
      </c>
      <c r="R73" s="11">
        <f t="shared" si="37"/>
        <v>3.8088805667901147E-2</v>
      </c>
    </row>
    <row r="74" spans="1:18" ht="16" customHeight="1">
      <c r="A74" s="6" t="s">
        <v>30</v>
      </c>
      <c r="B74" s="7">
        <v>17.449252855578159</v>
      </c>
      <c r="C74" s="7">
        <v>982.49648192771087</v>
      </c>
      <c r="D74" s="8">
        <v>29.809454756380514</v>
      </c>
      <c r="E74" s="8">
        <v>21.96</v>
      </c>
      <c r="F74" s="6">
        <v>0.9</v>
      </c>
      <c r="G74" s="9">
        <f>$G73</f>
        <v>75.47244444444442</v>
      </c>
      <c r="H74" s="9">
        <f t="shared" si="38"/>
        <v>0.7047152424676244</v>
      </c>
      <c r="I74" s="6">
        <v>11</v>
      </c>
      <c r="J74" s="6">
        <v>0.85</v>
      </c>
      <c r="K74" s="6">
        <v>5000</v>
      </c>
      <c r="L74" s="6">
        <v>1410</v>
      </c>
      <c r="M74" s="6">
        <v>44.7</v>
      </c>
      <c r="N74" s="9">
        <f>$N73</f>
        <v>1.865</v>
      </c>
      <c r="O74" s="9">
        <f t="shared" si="35"/>
        <v>83.365500000000011</v>
      </c>
      <c r="P74" s="10">
        <f t="shared" si="39"/>
        <v>3839.0964458974904</v>
      </c>
      <c r="Q74" s="9">
        <f t="shared" si="36"/>
        <v>31.71965049379536</v>
      </c>
      <c r="R74" s="11">
        <f t="shared" si="37"/>
        <v>4.5262841230443947E-2</v>
      </c>
    </row>
    <row r="75" spans="1:18" ht="16" customHeight="1">
      <c r="D75" s="19"/>
      <c r="F75" s="19"/>
      <c r="P75" s="41" t="s">
        <v>59</v>
      </c>
      <c r="Q75" s="42">
        <f>AVERAGE(Q70:Q74)</f>
        <v>26.869328141955556</v>
      </c>
      <c r="R75" s="43">
        <f>AVERAGE(R70:R74)</f>
        <v>3.8341599441517479E-2</v>
      </c>
    </row>
    <row r="77" spans="1:18" ht="16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8" ht="41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131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6" customHeight="1">
      <c r="A79" s="6" t="s">
        <v>46</v>
      </c>
      <c r="B79" s="7">
        <v>13.098000841750842</v>
      </c>
      <c r="C79" s="7">
        <v>295.59249999999997</v>
      </c>
      <c r="D79" s="8">
        <v>29.377782655044836</v>
      </c>
      <c r="E79" s="8">
        <v>18.689189189189189</v>
      </c>
      <c r="F79" s="6">
        <v>0.9</v>
      </c>
      <c r="G79" s="9">
        <f>'Summary N2O from residue'!H17*1000</f>
        <v>85.676888888888868</v>
      </c>
      <c r="H79" s="9">
        <f>D79*100/(3000*L79/1000)</f>
        <v>0.67535132540332954</v>
      </c>
      <c r="I79" s="6">
        <v>11</v>
      </c>
      <c r="J79" s="6">
        <v>0.85</v>
      </c>
      <c r="K79" s="6">
        <v>5000</v>
      </c>
      <c r="L79" s="6">
        <v>1450</v>
      </c>
      <c r="M79" s="6">
        <v>44.7</v>
      </c>
      <c r="N79" s="9">
        <f>N70</f>
        <v>1.865</v>
      </c>
      <c r="O79" s="9">
        <f t="shared" ref="O79:O83" si="40">M79*N79</f>
        <v>83.365500000000011</v>
      </c>
      <c r="P79" s="10">
        <f>((H79/100)*K79*L79)/I79*J79</f>
        <v>3783.5023116345619</v>
      </c>
      <c r="Q79" s="9">
        <f t="shared" ref="Q79:Q83" si="41">(21.37+(C79/(E79*F79))*((0.0037*G79)+(0.0000601*P79)-(0.00362*O79)))</f>
        <v>25.633525864966799</v>
      </c>
      <c r="R79" s="11">
        <f t="shared" ref="R79:R83" si="42">(44/28)*0.0075*(14/62)*Q79/N79</f>
        <v>3.6578152449360211E-2</v>
      </c>
    </row>
    <row r="80" spans="1:18" ht="16" customHeight="1">
      <c r="A80" s="6" t="s">
        <v>47</v>
      </c>
      <c r="B80" s="7">
        <v>13.777548326835603</v>
      </c>
      <c r="C80" s="7">
        <v>433.15689473684228</v>
      </c>
      <c r="D80" s="8">
        <v>33.470490139211137</v>
      </c>
      <c r="E80" s="8">
        <v>30.809090909090909</v>
      </c>
      <c r="F80" s="6">
        <v>0.9</v>
      </c>
      <c r="G80" s="9">
        <f>$G79</f>
        <v>85.676888888888868</v>
      </c>
      <c r="H80" s="9">
        <f t="shared" ref="H80:H83" si="43">D80*100/(3000*L80/1000)</f>
        <v>0.79691643188597949</v>
      </c>
      <c r="I80" s="6">
        <v>11</v>
      </c>
      <c r="J80" s="6">
        <v>0.85</v>
      </c>
      <c r="K80" s="6">
        <v>5000</v>
      </c>
      <c r="L80" s="6">
        <v>1400</v>
      </c>
      <c r="M80" s="6">
        <v>44.7</v>
      </c>
      <c r="N80" s="9">
        <f>$N79</f>
        <v>1.865</v>
      </c>
      <c r="O80" s="9">
        <f t="shared" si="40"/>
        <v>83.365500000000011</v>
      </c>
      <c r="P80" s="10">
        <f t="shared" ref="P80:P83" si="44">((H80/100)*K80*L80)/I80*J80</f>
        <v>4310.5934270196167</v>
      </c>
      <c r="Q80" s="9">
        <f t="shared" si="41"/>
        <v>25.654801582655601</v>
      </c>
      <c r="R80" s="11">
        <f t="shared" si="42"/>
        <v>3.6608512160669147E-2</v>
      </c>
    </row>
    <row r="81" spans="1:18" ht="16" customHeight="1">
      <c r="A81" s="6" t="s">
        <v>58</v>
      </c>
      <c r="B81" s="7">
        <v>13.698546788641128</v>
      </c>
      <c r="C81" s="7">
        <v>470.80577358490558</v>
      </c>
      <c r="D81" s="8">
        <v>33.397325195106504</v>
      </c>
      <c r="E81" s="8">
        <v>27.25</v>
      </c>
      <c r="F81" s="6">
        <v>0.9</v>
      </c>
      <c r="G81" s="9">
        <f>$G80</f>
        <v>85.676888888888868</v>
      </c>
      <c r="H81" s="9">
        <f t="shared" si="43"/>
        <v>0.80089508861166681</v>
      </c>
      <c r="I81" s="6">
        <v>11</v>
      </c>
      <c r="J81" s="6">
        <v>0.85</v>
      </c>
      <c r="K81" s="6">
        <v>5000</v>
      </c>
      <c r="L81" s="6">
        <v>1390</v>
      </c>
      <c r="M81" s="6">
        <v>44.7</v>
      </c>
      <c r="N81" s="9">
        <f>$N80</f>
        <v>1.865</v>
      </c>
      <c r="O81" s="9">
        <f t="shared" si="40"/>
        <v>83.365500000000011</v>
      </c>
      <c r="P81" s="10">
        <f t="shared" si="44"/>
        <v>4301.170669066747</v>
      </c>
      <c r="Q81" s="9">
        <f t="shared" si="41"/>
        <v>26.624628897511514</v>
      </c>
      <c r="R81" s="11">
        <f t="shared" si="42"/>
        <v>3.7992422105763202E-2</v>
      </c>
    </row>
    <row r="82" spans="1:18" ht="16" customHeight="1">
      <c r="A82" s="6" t="s">
        <v>57</v>
      </c>
      <c r="B82" s="7">
        <v>12.647221121894322</v>
      </c>
      <c r="C82" s="7">
        <v>490.42917647058812</v>
      </c>
      <c r="D82" s="8">
        <v>39.8389518220281</v>
      </c>
      <c r="E82" s="8">
        <v>29.264705882352942</v>
      </c>
      <c r="F82" s="6">
        <v>0.9</v>
      </c>
      <c r="G82" s="9">
        <f>$G81</f>
        <v>85.676888888888868</v>
      </c>
      <c r="H82" s="9">
        <f t="shared" si="43"/>
        <v>0.96931756257975921</v>
      </c>
      <c r="I82" s="6">
        <v>11</v>
      </c>
      <c r="J82" s="6">
        <v>0.85</v>
      </c>
      <c r="K82" s="6">
        <v>5000</v>
      </c>
      <c r="L82" s="6">
        <v>1370</v>
      </c>
      <c r="M82" s="6">
        <v>44.7</v>
      </c>
      <c r="N82" s="9">
        <f>$N81</f>
        <v>1.865</v>
      </c>
      <c r="O82" s="9">
        <f t="shared" si="40"/>
        <v>83.365500000000011</v>
      </c>
      <c r="P82" s="10">
        <f t="shared" si="44"/>
        <v>5130.7740982914975</v>
      </c>
      <c r="Q82" s="9">
        <f t="shared" si="41"/>
        <v>27.395214431171041</v>
      </c>
      <c r="R82" s="11">
        <f t="shared" si="42"/>
        <v>3.9092020938711593E-2</v>
      </c>
    </row>
    <row r="83" spans="1:18" ht="16" customHeight="1">
      <c r="A83" s="6" t="s">
        <v>30</v>
      </c>
      <c r="B83" s="7">
        <v>17.449252855578159</v>
      </c>
      <c r="C83" s="7">
        <v>982.49648192771087</v>
      </c>
      <c r="D83" s="8">
        <v>29.809454756380514</v>
      </c>
      <c r="E83" s="8">
        <v>21.96</v>
      </c>
      <c r="F83" s="6">
        <v>0.9</v>
      </c>
      <c r="G83" s="9">
        <f>$G82</f>
        <v>85.676888888888868</v>
      </c>
      <c r="H83" s="9">
        <f t="shared" si="43"/>
        <v>0.7047152424676244</v>
      </c>
      <c r="I83" s="6">
        <v>11</v>
      </c>
      <c r="J83" s="6">
        <v>0.85</v>
      </c>
      <c r="K83" s="6">
        <v>5000</v>
      </c>
      <c r="L83" s="6">
        <v>1410</v>
      </c>
      <c r="M83" s="6">
        <v>44.7</v>
      </c>
      <c r="N83" s="9">
        <f>$N82</f>
        <v>1.865</v>
      </c>
      <c r="O83" s="9">
        <f t="shared" si="40"/>
        <v>83.365500000000011</v>
      </c>
      <c r="P83" s="10">
        <f t="shared" si="44"/>
        <v>3839.0964458974904</v>
      </c>
      <c r="Q83" s="9">
        <f t="shared" si="41"/>
        <v>33.596576917432571</v>
      </c>
      <c r="R83" s="11">
        <f t="shared" si="42"/>
        <v>4.7941150145951517E-2</v>
      </c>
    </row>
    <row r="84" spans="1:18" ht="16" customHeight="1">
      <c r="D84" s="19"/>
      <c r="F84" s="19"/>
      <c r="P84" s="41" t="s">
        <v>59</v>
      </c>
      <c r="Q84" s="42">
        <f>AVERAGE(Q79:Q83)</f>
        <v>27.780949538747507</v>
      </c>
      <c r="R84" s="43">
        <f>AVERAGE(R79:R83)</f>
        <v>3.9642451560091135E-2</v>
      </c>
    </row>
    <row r="86" spans="1:18" ht="16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8" ht="41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131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6" customHeight="1">
      <c r="A88" s="6" t="s">
        <v>46</v>
      </c>
      <c r="B88" s="7">
        <v>13.098000841750842</v>
      </c>
      <c r="C88" s="7">
        <v>295.59249999999997</v>
      </c>
      <c r="D88" s="8">
        <v>29.377782655044836</v>
      </c>
      <c r="E88" s="8">
        <v>18.689189189189189</v>
      </c>
      <c r="F88" s="6">
        <v>0.9</v>
      </c>
      <c r="G88" s="9">
        <f>'Summary N2O from residue'!H18*1000</f>
        <v>95.881333333333316</v>
      </c>
      <c r="H88" s="9">
        <f>D88*100/(3000*L88/1000)</f>
        <v>0.67535132540332954</v>
      </c>
      <c r="I88" s="6">
        <v>11</v>
      </c>
      <c r="J88" s="6">
        <v>0.85</v>
      </c>
      <c r="K88" s="6">
        <v>5000</v>
      </c>
      <c r="L88" s="6">
        <v>1450</v>
      </c>
      <c r="M88" s="6">
        <v>44.7</v>
      </c>
      <c r="N88" s="9">
        <f>N79</f>
        <v>1.865</v>
      </c>
      <c r="O88" s="9">
        <f t="shared" ref="O88:O92" si="45">M88*N88</f>
        <v>83.365500000000011</v>
      </c>
      <c r="P88" s="10">
        <f>((H88/100)*K88*L88)/I88*J88</f>
        <v>3783.5023116345619</v>
      </c>
      <c r="Q88" s="9">
        <f t="shared" ref="Q88:Q92" si="46">(21.37+(C88/(E88*F88))*((0.0037*G88)+(0.0000601*P88)-(0.00362*O88)))</f>
        <v>26.297042064475832</v>
      </c>
      <c r="R88" s="11">
        <f t="shared" ref="R88:R92" si="47">(44/28)*0.0075*(14/62)*Q88/N88</f>
        <v>3.7524967055595534E-2</v>
      </c>
    </row>
    <row r="89" spans="1:18" ht="16" customHeight="1">
      <c r="A89" s="6" t="s">
        <v>47</v>
      </c>
      <c r="B89" s="7">
        <v>13.777548326835603</v>
      </c>
      <c r="C89" s="7">
        <v>433.15689473684228</v>
      </c>
      <c r="D89" s="8">
        <v>33.470490139211137</v>
      </c>
      <c r="E89" s="8">
        <v>30.809090909090909</v>
      </c>
      <c r="F89" s="6">
        <v>0.9</v>
      </c>
      <c r="G89" s="9">
        <f>$G88</f>
        <v>95.881333333333316</v>
      </c>
      <c r="H89" s="9">
        <f t="shared" ref="H89:H92" si="48">D89*100/(3000*L89/1000)</f>
        <v>0.79691643188597949</v>
      </c>
      <c r="I89" s="6">
        <v>11</v>
      </c>
      <c r="J89" s="6">
        <v>0.85</v>
      </c>
      <c r="K89" s="6">
        <v>5000</v>
      </c>
      <c r="L89" s="6">
        <v>1400</v>
      </c>
      <c r="M89" s="6">
        <v>44.7</v>
      </c>
      <c r="N89" s="9">
        <f>$N88</f>
        <v>1.865</v>
      </c>
      <c r="O89" s="9">
        <f t="shared" si="45"/>
        <v>83.365500000000011</v>
      </c>
      <c r="P89" s="10">
        <f t="shared" ref="P89:P92" si="49">((H89/100)*K89*L89)/I89*J89</f>
        <v>4310.5934270196167</v>
      </c>
      <c r="Q89" s="9">
        <f t="shared" si="46"/>
        <v>26.244615380729293</v>
      </c>
      <c r="R89" s="11">
        <f t="shared" si="47"/>
        <v>3.7450155996024664E-2</v>
      </c>
    </row>
    <row r="90" spans="1:18" ht="16" customHeight="1">
      <c r="A90" s="6" t="s">
        <v>58</v>
      </c>
      <c r="B90" s="7">
        <v>13.698546788641128</v>
      </c>
      <c r="C90" s="7">
        <v>470.80577358490558</v>
      </c>
      <c r="D90" s="8">
        <v>33.397325195106504</v>
      </c>
      <c r="E90" s="8">
        <v>27.25</v>
      </c>
      <c r="F90" s="6">
        <v>0.9</v>
      </c>
      <c r="G90" s="9">
        <f>$G89</f>
        <v>95.881333333333316</v>
      </c>
      <c r="H90" s="9">
        <f t="shared" si="48"/>
        <v>0.80089508861166681</v>
      </c>
      <c r="I90" s="6">
        <v>11</v>
      </c>
      <c r="J90" s="6">
        <v>0.85</v>
      </c>
      <c r="K90" s="6">
        <v>5000</v>
      </c>
      <c r="L90" s="6">
        <v>1390</v>
      </c>
      <c r="M90" s="6">
        <v>44.7</v>
      </c>
      <c r="N90" s="9">
        <f>$N89</f>
        <v>1.865</v>
      </c>
      <c r="O90" s="9">
        <f t="shared" si="45"/>
        <v>83.365500000000011</v>
      </c>
      <c r="P90" s="10">
        <f t="shared" si="49"/>
        <v>4301.170669066747</v>
      </c>
      <c r="Q90" s="9">
        <f t="shared" si="46"/>
        <v>27.349438358652478</v>
      </c>
      <c r="R90" s="11">
        <f t="shared" si="47"/>
        <v>3.9026700070722634E-2</v>
      </c>
    </row>
    <row r="91" spans="1:18" ht="16" customHeight="1">
      <c r="A91" s="6" t="s">
        <v>57</v>
      </c>
      <c r="B91" s="7">
        <v>12.647221121894322</v>
      </c>
      <c r="C91" s="7">
        <v>490.42917647058812</v>
      </c>
      <c r="D91" s="8">
        <v>39.8389518220281</v>
      </c>
      <c r="E91" s="8">
        <v>29.264705882352942</v>
      </c>
      <c r="F91" s="6">
        <v>0.9</v>
      </c>
      <c r="G91" s="9">
        <f>$G90</f>
        <v>95.881333333333316</v>
      </c>
      <c r="H91" s="9">
        <f t="shared" si="48"/>
        <v>0.96931756257975921</v>
      </c>
      <c r="I91" s="6">
        <v>11</v>
      </c>
      <c r="J91" s="6">
        <v>0.85</v>
      </c>
      <c r="K91" s="6">
        <v>5000</v>
      </c>
      <c r="L91" s="6">
        <v>1370</v>
      </c>
      <c r="M91" s="6">
        <v>44.7</v>
      </c>
      <c r="N91" s="9">
        <f>$N90</f>
        <v>1.865</v>
      </c>
      <c r="O91" s="9">
        <f t="shared" si="45"/>
        <v>83.365500000000011</v>
      </c>
      <c r="P91" s="10">
        <f t="shared" si="49"/>
        <v>5130.7740982914975</v>
      </c>
      <c r="Q91" s="9">
        <f t="shared" si="46"/>
        <v>28.098255532769901</v>
      </c>
      <c r="R91" s="11">
        <f t="shared" si="47"/>
        <v>4.0095236209522038E-2</v>
      </c>
    </row>
    <row r="92" spans="1:18" ht="16" customHeight="1">
      <c r="A92" s="6" t="s">
        <v>30</v>
      </c>
      <c r="B92" s="7">
        <v>17.449252855578159</v>
      </c>
      <c r="C92" s="7">
        <v>982.49648192771087</v>
      </c>
      <c r="D92" s="8">
        <v>29.809454756380514</v>
      </c>
      <c r="E92" s="8">
        <v>21.96</v>
      </c>
      <c r="F92" s="6">
        <v>0.9</v>
      </c>
      <c r="G92" s="9">
        <f>$G91</f>
        <v>95.881333333333316</v>
      </c>
      <c r="H92" s="9">
        <f t="shared" si="48"/>
        <v>0.7047152424676244</v>
      </c>
      <c r="I92" s="6">
        <v>11</v>
      </c>
      <c r="J92" s="6">
        <v>0.85</v>
      </c>
      <c r="K92" s="6">
        <v>5000</v>
      </c>
      <c r="L92" s="6">
        <v>1410</v>
      </c>
      <c r="M92" s="6">
        <v>44.7</v>
      </c>
      <c r="N92" s="9">
        <f>$N91</f>
        <v>1.865</v>
      </c>
      <c r="O92" s="9">
        <f t="shared" si="45"/>
        <v>83.365500000000011</v>
      </c>
      <c r="P92" s="10">
        <f t="shared" si="49"/>
        <v>3839.0964458974904</v>
      </c>
      <c r="Q92" s="9">
        <f t="shared" si="46"/>
        <v>35.473503341069772</v>
      </c>
      <c r="R92" s="11">
        <f t="shared" si="47"/>
        <v>5.0619459061459066E-2</v>
      </c>
    </row>
    <row r="93" spans="1:18" ht="16" customHeight="1">
      <c r="D93" s="19"/>
      <c r="F93" s="19"/>
      <c r="P93" s="41" t="s">
        <v>59</v>
      </c>
      <c r="Q93" s="42">
        <f>AVERAGE(Q88:Q92)</f>
        <v>28.692570935539457</v>
      </c>
      <c r="R93" s="43">
        <f>AVERAGE(R88:R92)</f>
        <v>4.0943303678664791E-2</v>
      </c>
    </row>
    <row r="97" spans="1:18" ht="16" customHeight="1">
      <c r="A97" s="45"/>
      <c r="B97" s="45"/>
      <c r="C97" s="45"/>
      <c r="D97" s="45"/>
      <c r="E97" s="45"/>
      <c r="F97" s="45"/>
      <c r="G97" s="45"/>
      <c r="H97" s="45"/>
      <c r="I97" s="46"/>
      <c r="J97" s="45"/>
      <c r="K97" s="45"/>
      <c r="L97" s="45"/>
      <c r="M97" s="45"/>
      <c r="N97" s="45"/>
      <c r="O97" s="45"/>
      <c r="P97" s="45"/>
      <c r="Q97" s="45"/>
      <c r="R97" s="45"/>
    </row>
    <row r="98" spans="1:18" ht="16" customHeight="1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5"/>
    </row>
    <row r="99" spans="1:18" ht="16" customHeight="1">
      <c r="B99" s="30"/>
      <c r="C99" s="30"/>
      <c r="D99" s="23"/>
      <c r="E99" s="23"/>
      <c r="G99" s="24"/>
      <c r="H99" s="24"/>
      <c r="N99" s="24"/>
      <c r="O99" s="24"/>
      <c r="P99" s="25"/>
      <c r="Q99" s="24"/>
      <c r="R99" s="26"/>
    </row>
    <row r="100" spans="1:18" ht="16" customHeight="1">
      <c r="B100" s="30"/>
      <c r="C100" s="30"/>
      <c r="D100" s="23"/>
      <c r="E100" s="23"/>
      <c r="G100" s="24"/>
      <c r="H100" s="24"/>
      <c r="N100" s="24"/>
      <c r="O100" s="24"/>
      <c r="P100" s="25"/>
      <c r="Q100" s="24"/>
      <c r="R100" s="26"/>
    </row>
    <row r="101" spans="1:18" ht="16" customHeight="1">
      <c r="B101" s="30"/>
      <c r="C101" s="30"/>
      <c r="D101" s="23"/>
      <c r="E101" s="23"/>
      <c r="G101" s="24"/>
      <c r="H101" s="24"/>
      <c r="N101" s="24"/>
      <c r="O101" s="24"/>
      <c r="P101" s="25"/>
      <c r="Q101" s="24"/>
      <c r="R101" s="26"/>
    </row>
    <row r="102" spans="1:18" ht="16" customHeight="1">
      <c r="B102" s="30"/>
      <c r="C102" s="30"/>
      <c r="D102" s="23"/>
      <c r="E102" s="23"/>
      <c r="G102" s="24"/>
      <c r="H102" s="24"/>
      <c r="N102" s="24"/>
      <c r="O102" s="24"/>
      <c r="P102" s="25"/>
      <c r="Q102" s="24"/>
      <c r="R102" s="26"/>
    </row>
    <row r="103" spans="1:18" ht="16" customHeight="1">
      <c r="B103" s="30"/>
      <c r="C103" s="30"/>
      <c r="D103" s="23"/>
      <c r="E103" s="23"/>
      <c r="G103" s="24"/>
      <c r="H103" s="24"/>
      <c r="N103" s="24"/>
      <c r="O103" s="24"/>
      <c r="P103" s="25"/>
      <c r="Q103" s="24"/>
      <c r="R103" s="26"/>
    </row>
    <row r="104" spans="1:18" ht="16" customHeight="1">
      <c r="D104" s="19"/>
      <c r="E104" s="19"/>
      <c r="N104" s="24"/>
      <c r="O104" s="24"/>
      <c r="R104" s="20"/>
    </row>
  </sheetData>
  <sortState ref="A6:V23">
    <sortCondition ref="A6"/>
  </sortState>
  <mergeCells count="20">
    <mergeCell ref="A2:C2"/>
    <mergeCell ref="A12:C12"/>
    <mergeCell ref="A97:A98"/>
    <mergeCell ref="B97:B98"/>
    <mergeCell ref="C97:C98"/>
    <mergeCell ref="D97:D98"/>
    <mergeCell ref="E97:E98"/>
    <mergeCell ref="P97:P98"/>
    <mergeCell ref="Q97:Q98"/>
    <mergeCell ref="R97:R98"/>
    <mergeCell ref="K97:K98"/>
    <mergeCell ref="L97:L98"/>
    <mergeCell ref="M97:M98"/>
    <mergeCell ref="N97:N98"/>
    <mergeCell ref="O97:O98"/>
    <mergeCell ref="F97:F98"/>
    <mergeCell ref="G97:G98"/>
    <mergeCell ref="H97:H98"/>
    <mergeCell ref="I97:I98"/>
    <mergeCell ref="J97:J98"/>
  </mergeCells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1"/>
  <sheetViews>
    <sheetView topLeftCell="E1" zoomScale="80" zoomScaleNormal="80" workbookViewId="0">
      <selection activeCell="K22" sqref="K22"/>
    </sheetView>
  </sheetViews>
  <sheetFormatPr defaultColWidth="14.90625" defaultRowHeight="16" customHeight="1"/>
  <cols>
    <col min="1" max="17" width="14.90625" style="1"/>
    <col min="18" max="18" width="19.08984375" style="1" customWidth="1"/>
    <col min="19" max="16384" width="14.90625" style="1"/>
  </cols>
  <sheetData>
    <row r="1" spans="1:18" ht="16" customHeight="1">
      <c r="A1" s="31" t="s">
        <v>0</v>
      </c>
    </row>
    <row r="2" spans="1:18" ht="16" customHeight="1">
      <c r="A2" s="2" t="s">
        <v>100</v>
      </c>
      <c r="B2" s="2"/>
      <c r="C2" s="2"/>
    </row>
    <row r="3" spans="1:18" ht="16" customHeight="1">
      <c r="A3" s="35"/>
      <c r="B3" s="35"/>
      <c r="C3" s="35"/>
      <c r="D3" s="35"/>
      <c r="E3" s="35"/>
      <c r="F3" s="35"/>
      <c r="G3" s="35"/>
      <c r="H3" s="35"/>
      <c r="I3" s="36"/>
      <c r="J3" s="35"/>
      <c r="K3" s="35"/>
      <c r="L3" s="35"/>
      <c r="M3" s="35"/>
      <c r="N3" s="35"/>
      <c r="O3" s="35"/>
      <c r="P3" s="35"/>
      <c r="Q3" s="35"/>
      <c r="R3" s="35"/>
    </row>
    <row r="4" spans="1:18" ht="41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131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18" ht="16" customHeight="1">
      <c r="A5" s="6" t="s">
        <v>44</v>
      </c>
      <c r="B5" s="7">
        <v>9.1476887347369296</v>
      </c>
      <c r="C5" s="7">
        <v>294.35539759036146</v>
      </c>
      <c r="D5" s="8">
        <v>29.571161147437262</v>
      </c>
      <c r="E5" s="8">
        <v>8.9267676767676765</v>
      </c>
      <c r="F5" s="6">
        <v>0.9</v>
      </c>
      <c r="G5" s="9">
        <v>36.74</v>
      </c>
      <c r="H5" s="9">
        <f>D5*100/(3000*L5/1000)</f>
        <v>0.78856429726499366</v>
      </c>
      <c r="I5" s="6">
        <v>11</v>
      </c>
      <c r="J5" s="6">
        <v>0.85</v>
      </c>
      <c r="K5" s="6">
        <v>5000</v>
      </c>
      <c r="L5" s="6">
        <v>1250</v>
      </c>
      <c r="M5" s="6">
        <v>44.7</v>
      </c>
      <c r="N5" s="6">
        <v>1.865</v>
      </c>
      <c r="O5" s="6">
        <f>M5*N5</f>
        <v>83.365500000000011</v>
      </c>
      <c r="P5" s="10">
        <f>((H5/100)*K5*L5)/I5*J5</f>
        <v>3808.4071174729802</v>
      </c>
      <c r="Q5" s="9">
        <f>(21.37+(C5/(E5*F5))*((0.0037*G5)+(0.0000601*P5)-(0.00362*O5)))</f>
        <v>23.67968393457484</v>
      </c>
      <c r="R5" s="11">
        <f>(44/28)*0.0075*(14/62)*Q5/N5</f>
        <v>3.3790087773111196E-2</v>
      </c>
    </row>
    <row r="6" spans="1:18" ht="16" customHeight="1">
      <c r="A6" s="6" t="s">
        <v>43</v>
      </c>
      <c r="B6" s="7">
        <v>10.109387796887795</v>
      </c>
      <c r="C6" s="7">
        <v>190.99083783783794</v>
      </c>
      <c r="D6" s="8">
        <v>24.396104580928402</v>
      </c>
      <c r="E6" s="8">
        <v>9.1900826446280988</v>
      </c>
      <c r="F6" s="6">
        <v>0.9</v>
      </c>
      <c r="G6" s="9">
        <f>$G5</f>
        <v>36.74</v>
      </c>
      <c r="H6" s="9">
        <f t="shared" ref="H6:H9" si="0">D6*100/(3000*L6/1000)</f>
        <v>0.62076601987095159</v>
      </c>
      <c r="I6" s="6">
        <v>11</v>
      </c>
      <c r="J6" s="6">
        <v>0.85</v>
      </c>
      <c r="K6" s="6">
        <v>5000</v>
      </c>
      <c r="L6" s="6">
        <v>1310</v>
      </c>
      <c r="M6" s="6">
        <v>44.7</v>
      </c>
      <c r="N6" s="6">
        <f>$N5</f>
        <v>1.865</v>
      </c>
      <c r="O6" s="6">
        <f>M6*N6</f>
        <v>83.365500000000011</v>
      </c>
      <c r="P6" s="10">
        <f t="shared" ref="P6:P9" si="1">((H6/100)*K6*L6)/I6*J6</f>
        <v>3141.9225596650213</v>
      </c>
      <c r="Q6" s="9">
        <f>(21.37+(C6/(E6*F6))*((0.0037*G6)+(0.0000601*P6)-(0.00362*O6)))</f>
        <v>21.900743220983426</v>
      </c>
      <c r="R6" s="11">
        <f t="shared" ref="R6:R9" si="2">(44/28)*0.0075*(14/62)*Q6/N6</f>
        <v>3.1251601067735578E-2</v>
      </c>
    </row>
    <row r="7" spans="1:18" ht="16" customHeight="1">
      <c r="A7" s="6" t="s">
        <v>42</v>
      </c>
      <c r="B7" s="7">
        <v>9.3955975416818784</v>
      </c>
      <c r="C7" s="7">
        <v>261.7301686746988</v>
      </c>
      <c r="D7" s="8">
        <v>49.924037527653432</v>
      </c>
      <c r="E7" s="8">
        <v>12.875</v>
      </c>
      <c r="F7" s="6">
        <v>0.9</v>
      </c>
      <c r="G7" s="9">
        <f>$G6</f>
        <v>36.74</v>
      </c>
      <c r="H7" s="9">
        <f t="shared" si="0"/>
        <v>1.3420440195605763</v>
      </c>
      <c r="I7" s="6">
        <v>11</v>
      </c>
      <c r="J7" s="6">
        <v>0.85</v>
      </c>
      <c r="K7" s="6">
        <v>5000</v>
      </c>
      <c r="L7" s="6">
        <v>1240</v>
      </c>
      <c r="M7" s="6">
        <v>44.7</v>
      </c>
      <c r="N7" s="6">
        <f>$N6</f>
        <v>1.865</v>
      </c>
      <c r="O7" s="6">
        <f>M7*N7</f>
        <v>83.365500000000011</v>
      </c>
      <c r="P7" s="10">
        <f t="shared" si="1"/>
        <v>6429.6108937129429</v>
      </c>
      <c r="Q7" s="9">
        <f>(21.37+(C7/(E7*F7))*((0.0037*G7)+(0.0000601*P7)-(0.00362*O7)))</f>
        <v>26.352179272806783</v>
      </c>
      <c r="R7" s="11">
        <f t="shared" si="2"/>
        <v>3.7603645939748499E-2</v>
      </c>
    </row>
    <row r="8" spans="1:18" ht="16" customHeight="1">
      <c r="A8" s="6" t="s">
        <v>45</v>
      </c>
      <c r="B8" s="7">
        <v>9.8878544480954176</v>
      </c>
      <c r="C8" s="7">
        <v>245.92402409638549</v>
      </c>
      <c r="D8" s="8">
        <v>38.642317191826933</v>
      </c>
      <c r="E8" s="8">
        <v>11.013824884792626</v>
      </c>
      <c r="F8" s="6">
        <v>0.9</v>
      </c>
      <c r="G8" s="9">
        <f>$G7</f>
        <v>36.74</v>
      </c>
      <c r="H8" s="9">
        <f t="shared" si="0"/>
        <v>1.0304617917820516</v>
      </c>
      <c r="I8" s="6">
        <v>11</v>
      </c>
      <c r="J8" s="6">
        <v>0.85</v>
      </c>
      <c r="K8" s="6">
        <v>5000</v>
      </c>
      <c r="L8" s="6">
        <v>1250</v>
      </c>
      <c r="M8" s="6">
        <v>44.7</v>
      </c>
      <c r="N8" s="6">
        <f>$N7</f>
        <v>1.865</v>
      </c>
      <c r="O8" s="6">
        <f>M8*N8</f>
        <v>83.365500000000011</v>
      </c>
      <c r="P8" s="10">
        <f t="shared" si="1"/>
        <v>4976.6620625837722</v>
      </c>
      <c r="Q8" s="9">
        <f>(21.37+(C8/(E8*F8))*((0.0037*G8)+(0.0000601*P8)-(0.00362*O8)))</f>
        <v>24.675939706674622</v>
      </c>
      <c r="R8" s="11">
        <f t="shared" si="2"/>
        <v>3.5211710210164421E-2</v>
      </c>
    </row>
    <row r="9" spans="1:18" ht="16" customHeight="1">
      <c r="A9" s="6" t="s">
        <v>56</v>
      </c>
      <c r="B9" s="7">
        <v>9.8064355063351041</v>
      </c>
      <c r="C9" s="7">
        <v>354.70334939759039</v>
      </c>
      <c r="D9" s="8">
        <v>59.805452436194862</v>
      </c>
      <c r="E9" s="8">
        <v>15.456</v>
      </c>
      <c r="F9" s="6">
        <v>0.9</v>
      </c>
      <c r="G9" s="9">
        <f>$G8</f>
        <v>36.74</v>
      </c>
      <c r="H9" s="9">
        <f t="shared" si="0"/>
        <v>1.5334731393896119</v>
      </c>
      <c r="I9" s="6">
        <v>11</v>
      </c>
      <c r="J9" s="6">
        <v>0.85</v>
      </c>
      <c r="K9" s="6">
        <v>5000</v>
      </c>
      <c r="L9" s="6">
        <v>1300</v>
      </c>
      <c r="M9" s="6">
        <v>44.7</v>
      </c>
      <c r="N9" s="6">
        <f>$N8</f>
        <v>1.865</v>
      </c>
      <c r="O9" s="6">
        <f>M9*N9</f>
        <v>83.365500000000011</v>
      </c>
      <c r="P9" s="10">
        <f t="shared" si="1"/>
        <v>7702.2173592069157</v>
      </c>
      <c r="Q9" s="9">
        <f>(21.37+(C9/(E9*F9))*((0.0037*G9)+(0.0000601*P9)-(0.00362*O9)))</f>
        <v>28.944729837908</v>
      </c>
      <c r="R9" s="11">
        <f t="shared" si="2"/>
        <v>4.130312568757951E-2</v>
      </c>
    </row>
    <row r="10" spans="1:18" ht="16" customHeight="1">
      <c r="D10" s="19"/>
      <c r="F10" s="19"/>
      <c r="P10" s="41" t="s">
        <v>59</v>
      </c>
      <c r="Q10" s="42">
        <f>AVERAGE(Q5:Q9)</f>
        <v>25.110655194589533</v>
      </c>
      <c r="R10" s="43">
        <f>AVERAGE(R5:R9)</f>
        <v>3.5832034135667837E-2</v>
      </c>
    </row>
    <row r="12" spans="1:18" ht="16" customHeight="1">
      <c r="A12" s="21" t="s">
        <v>121</v>
      </c>
      <c r="B12" s="21"/>
      <c r="C12" s="21"/>
    </row>
    <row r="13" spans="1:18" ht="16" customHeight="1">
      <c r="A13" s="33"/>
    </row>
    <row r="14" spans="1:18" ht="16" customHeight="1">
      <c r="A14" s="22" t="s">
        <v>101</v>
      </c>
      <c r="B14" s="35"/>
      <c r="C14" s="35"/>
      <c r="D14" s="35"/>
      <c r="E14" s="35"/>
      <c r="F14" s="35"/>
      <c r="G14" s="35"/>
      <c r="H14" s="35"/>
      <c r="I14" s="36"/>
      <c r="J14" s="35"/>
      <c r="K14" s="35"/>
      <c r="L14" s="35"/>
      <c r="M14" s="35"/>
      <c r="N14" s="35"/>
      <c r="O14" s="35"/>
      <c r="P14" s="35"/>
      <c r="Q14" s="35"/>
      <c r="R14" s="35"/>
    </row>
    <row r="15" spans="1:18" ht="41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131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18" ht="16" customHeight="1">
      <c r="A16" s="6" t="s">
        <v>44</v>
      </c>
      <c r="B16" s="7">
        <v>9.1476887347369296</v>
      </c>
      <c r="C16" s="7">
        <v>294.35539759036146</v>
      </c>
      <c r="D16" s="8">
        <v>29.571161147437262</v>
      </c>
      <c r="E16" s="8">
        <v>8.9267676767676765</v>
      </c>
      <c r="F16" s="6">
        <v>0.9</v>
      </c>
      <c r="G16" s="9">
        <f>'Summary N2O from residue'!H10*1000</f>
        <v>31.960444444444445</v>
      </c>
      <c r="H16" s="9">
        <f>D16*100/(3000*L16/1000)</f>
        <v>0.78856429726499366</v>
      </c>
      <c r="I16" s="6">
        <v>11</v>
      </c>
      <c r="J16" s="6">
        <v>0.85</v>
      </c>
      <c r="K16" s="6">
        <v>5000</v>
      </c>
      <c r="L16" s="6">
        <v>1250</v>
      </c>
      <c r="M16" s="6">
        <v>44.7</v>
      </c>
      <c r="N16" s="6">
        <f>N5</f>
        <v>1.865</v>
      </c>
      <c r="O16" s="6">
        <f>M16*N16</f>
        <v>83.365500000000011</v>
      </c>
      <c r="P16" s="10">
        <f>((H16/100)*K16*L16)/I16*J16</f>
        <v>3808.4071174729802</v>
      </c>
      <c r="Q16" s="9">
        <f>(21.37+(C16/(E16*F16))*((0.0037*G16)+(0.0000601*P16)-(0.00362*O16)))</f>
        <v>23.031759288266112</v>
      </c>
      <c r="R16" s="11">
        <f>(44/28)*0.0075*(14/62)*Q16/N16</f>
        <v>3.2865521772584172E-2</v>
      </c>
    </row>
    <row r="17" spans="1:18" ht="16" customHeight="1">
      <c r="A17" s="6" t="s">
        <v>43</v>
      </c>
      <c r="B17" s="7">
        <v>10.109387796887795</v>
      </c>
      <c r="C17" s="7">
        <v>190.99083783783794</v>
      </c>
      <c r="D17" s="8">
        <v>24.396104580928402</v>
      </c>
      <c r="E17" s="8">
        <v>9.1900826446280988</v>
      </c>
      <c r="F17" s="6">
        <v>0.9</v>
      </c>
      <c r="G17" s="9">
        <f>$G16</f>
        <v>31.960444444444445</v>
      </c>
      <c r="H17" s="9">
        <f t="shared" ref="H17:H20" si="3">D17*100/(3000*L17/1000)</f>
        <v>0.62076601987095159</v>
      </c>
      <c r="I17" s="6">
        <v>11</v>
      </c>
      <c r="J17" s="6">
        <v>0.85</v>
      </c>
      <c r="K17" s="6">
        <v>5000</v>
      </c>
      <c r="L17" s="6">
        <v>1310</v>
      </c>
      <c r="M17" s="6">
        <v>44.7</v>
      </c>
      <c r="N17" s="6">
        <f>$N16</f>
        <v>1.865</v>
      </c>
      <c r="O17" s="6">
        <f>M17*N17</f>
        <v>83.365500000000011</v>
      </c>
      <c r="P17" s="10">
        <f t="shared" ref="P17:P20" si="4">((H17/100)*K17*L17)/I17*J17</f>
        <v>3141.9225596650213</v>
      </c>
      <c r="Q17" s="9">
        <f>(21.37+(C17/(E17*F17))*((0.0037*G17)+(0.0000601*P17)-(0.00362*O17)))</f>
        <v>21.492386370478318</v>
      </c>
      <c r="R17" s="11">
        <f t="shared" ref="R17:R20" si="5">(44/28)*0.0075*(14/62)*Q17/N17</f>
        <v>3.0668890003709433E-2</v>
      </c>
    </row>
    <row r="18" spans="1:18" ht="16" customHeight="1">
      <c r="A18" s="6" t="s">
        <v>42</v>
      </c>
      <c r="B18" s="7">
        <v>9.3955975416818784</v>
      </c>
      <c r="C18" s="7">
        <v>261.7301686746988</v>
      </c>
      <c r="D18" s="8">
        <v>49.924037527653432</v>
      </c>
      <c r="E18" s="8">
        <v>12.875</v>
      </c>
      <c r="F18" s="6">
        <v>0.9</v>
      </c>
      <c r="G18" s="9">
        <f>$G17</f>
        <v>31.960444444444445</v>
      </c>
      <c r="H18" s="9">
        <f t="shared" si="3"/>
        <v>1.3420440195605763</v>
      </c>
      <c r="I18" s="6">
        <v>11</v>
      </c>
      <c r="J18" s="6">
        <v>0.85</v>
      </c>
      <c r="K18" s="6">
        <v>5000</v>
      </c>
      <c r="L18" s="6">
        <v>1240</v>
      </c>
      <c r="M18" s="6">
        <v>44.7</v>
      </c>
      <c r="N18" s="6">
        <f>$N17</f>
        <v>1.865</v>
      </c>
      <c r="O18" s="6">
        <f>M18*N18</f>
        <v>83.365500000000011</v>
      </c>
      <c r="P18" s="10">
        <f t="shared" si="4"/>
        <v>6429.6108937129429</v>
      </c>
      <c r="Q18" s="9">
        <f>(21.37+(C18/(E18*F18))*((0.0037*G18)+(0.0000601*P18)-(0.00362*O18)))</f>
        <v>25.952737688128561</v>
      </c>
      <c r="R18" s="11">
        <f t="shared" si="5"/>
        <v>3.7033656650879633E-2</v>
      </c>
    </row>
    <row r="19" spans="1:18" ht="16" customHeight="1">
      <c r="A19" s="6" t="s">
        <v>45</v>
      </c>
      <c r="B19" s="7">
        <v>9.8878544480954176</v>
      </c>
      <c r="C19" s="7">
        <v>245.92402409638549</v>
      </c>
      <c r="D19" s="8">
        <v>38.642317191826933</v>
      </c>
      <c r="E19" s="8">
        <v>11.013824884792626</v>
      </c>
      <c r="F19" s="6">
        <v>0.9</v>
      </c>
      <c r="G19" s="9">
        <f>$G18</f>
        <v>31.960444444444445</v>
      </c>
      <c r="H19" s="9">
        <f t="shared" si="3"/>
        <v>1.0304617917820516</v>
      </c>
      <c r="I19" s="6">
        <v>11</v>
      </c>
      <c r="J19" s="6">
        <v>0.85</v>
      </c>
      <c r="K19" s="6">
        <v>5000</v>
      </c>
      <c r="L19" s="6">
        <v>1250</v>
      </c>
      <c r="M19" s="6">
        <v>44.7</v>
      </c>
      <c r="N19" s="6">
        <f>$N18</f>
        <v>1.865</v>
      </c>
      <c r="O19" s="6">
        <f>M19*N19</f>
        <v>83.365500000000011</v>
      </c>
      <c r="P19" s="10">
        <f t="shared" si="4"/>
        <v>4976.6620625837722</v>
      </c>
      <c r="Q19" s="9">
        <f>(21.37+(C19/(E19*F19))*((0.0037*G19)+(0.0000601*P19)-(0.00362*O19)))</f>
        <v>24.237197395961072</v>
      </c>
      <c r="R19" s="11">
        <f t="shared" si="5"/>
        <v>3.4585640148175875E-2</v>
      </c>
    </row>
    <row r="20" spans="1:18" ht="16" customHeight="1">
      <c r="A20" s="6" t="s">
        <v>56</v>
      </c>
      <c r="B20" s="7">
        <v>9.8064355063351041</v>
      </c>
      <c r="C20" s="7">
        <v>354.70334939759039</v>
      </c>
      <c r="D20" s="8">
        <v>59.805452436194862</v>
      </c>
      <c r="E20" s="8">
        <v>15.456</v>
      </c>
      <c r="F20" s="6">
        <v>0.9</v>
      </c>
      <c r="G20" s="9">
        <f>$G19</f>
        <v>31.960444444444445</v>
      </c>
      <c r="H20" s="9">
        <f t="shared" si="3"/>
        <v>1.5334731393896119</v>
      </c>
      <c r="I20" s="6">
        <v>11</v>
      </c>
      <c r="J20" s="6">
        <v>0.85</v>
      </c>
      <c r="K20" s="6">
        <v>5000</v>
      </c>
      <c r="L20" s="6">
        <v>1300</v>
      </c>
      <c r="M20" s="6">
        <v>44.7</v>
      </c>
      <c r="N20" s="6">
        <f>$N19</f>
        <v>1.865</v>
      </c>
      <c r="O20" s="6">
        <f>M20*N20</f>
        <v>83.365500000000011</v>
      </c>
      <c r="P20" s="10">
        <f t="shared" si="4"/>
        <v>7702.2173592069157</v>
      </c>
      <c r="Q20" s="9">
        <f>(21.37+(C20/(E20*F20))*((0.0037*G20)+(0.0000601*P20)-(0.00362*O20)))</f>
        <v>28.493793836966734</v>
      </c>
      <c r="R20" s="11">
        <f t="shared" si="5"/>
        <v>4.0659655652508092E-2</v>
      </c>
    </row>
    <row r="21" spans="1:18" ht="16" customHeight="1">
      <c r="D21" s="19"/>
      <c r="F21" s="19"/>
      <c r="P21" s="41" t="s">
        <v>59</v>
      </c>
      <c r="Q21" s="42">
        <f>AVERAGE(Q16:Q20)</f>
        <v>24.64157491596016</v>
      </c>
      <c r="R21" s="43">
        <f>AVERAGE(R16:R20)</f>
        <v>3.5162672845571438E-2</v>
      </c>
    </row>
    <row r="23" spans="1:18" ht="16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41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131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8" ht="16" customHeight="1">
      <c r="A25" s="6" t="s">
        <v>44</v>
      </c>
      <c r="B25" s="7">
        <v>9.1476887347369296</v>
      </c>
      <c r="C25" s="7">
        <v>294.35539759036146</v>
      </c>
      <c r="D25" s="8">
        <v>29.571161147437262</v>
      </c>
      <c r="E25" s="8">
        <v>8.9267676767676765</v>
      </c>
      <c r="F25" s="6">
        <v>0.9</v>
      </c>
      <c r="G25" s="9">
        <f>'Summary N2O from residue'!H11*1000</f>
        <v>42.164888888888889</v>
      </c>
      <c r="H25" s="9">
        <f>D25*100/(3000*L25/1000)</f>
        <v>0.78856429726499366</v>
      </c>
      <c r="I25" s="6">
        <v>11</v>
      </c>
      <c r="J25" s="6">
        <v>0.85</v>
      </c>
      <c r="K25" s="6">
        <v>5000</v>
      </c>
      <c r="L25" s="6">
        <v>1250</v>
      </c>
      <c r="M25" s="6">
        <v>44.7</v>
      </c>
      <c r="N25" s="6">
        <f>N16</f>
        <v>1.865</v>
      </c>
      <c r="O25" s="6">
        <f>M25*N25</f>
        <v>83.365500000000011</v>
      </c>
      <c r="P25" s="10">
        <f>((H25/100)*K25*L25)/I25*J25</f>
        <v>3808.4071174729802</v>
      </c>
      <c r="Q25" s="9">
        <f>(21.37+(C25/(E25*F25))*((0.0037*G25)+(0.0000601*P25)-(0.00362*O25)))</f>
        <v>24.415091060559988</v>
      </c>
      <c r="R25" s="11">
        <f>(44/28)*0.0075*(14/62)*Q25/N25</f>
        <v>3.4839488238280696E-2</v>
      </c>
    </row>
    <row r="26" spans="1:18" ht="16" customHeight="1">
      <c r="A26" s="6" t="s">
        <v>43</v>
      </c>
      <c r="B26" s="7">
        <v>10.109387796887795</v>
      </c>
      <c r="C26" s="7">
        <v>190.99083783783794</v>
      </c>
      <c r="D26" s="8">
        <v>24.396104580928402</v>
      </c>
      <c r="E26" s="8">
        <v>9.1900826446280988</v>
      </c>
      <c r="F26" s="6">
        <v>0.9</v>
      </c>
      <c r="G26" s="9">
        <f>$G25</f>
        <v>42.164888888888889</v>
      </c>
      <c r="H26" s="9">
        <f t="shared" ref="H26:H29" si="6">D26*100/(3000*L26/1000)</f>
        <v>0.62076601987095159</v>
      </c>
      <c r="I26" s="6">
        <v>11</v>
      </c>
      <c r="J26" s="6">
        <v>0.85</v>
      </c>
      <c r="K26" s="6">
        <v>5000</v>
      </c>
      <c r="L26" s="6">
        <v>1310</v>
      </c>
      <c r="M26" s="6">
        <v>44.7</v>
      </c>
      <c r="N26" s="6">
        <f>$N25</f>
        <v>1.865</v>
      </c>
      <c r="O26" s="6">
        <f>M26*N26</f>
        <v>83.365500000000011</v>
      </c>
      <c r="P26" s="10">
        <f t="shared" ref="P26:P29" si="7">((H26/100)*K26*L26)/I26*J26</f>
        <v>3141.9225596650213</v>
      </c>
      <c r="Q26" s="9">
        <f>(21.37+(C26/(E26*F26))*((0.0037*G26)+(0.0000601*P26)-(0.00362*O26)))</f>
        <v>22.364236220543155</v>
      </c>
      <c r="R26" s="11">
        <f t="shared" ref="R26:R29" si="8">(44/28)*0.0075*(14/62)*Q26/N26</f>
        <v>3.1912989504364095E-2</v>
      </c>
    </row>
    <row r="27" spans="1:18" ht="16" customHeight="1">
      <c r="A27" s="6" t="s">
        <v>42</v>
      </c>
      <c r="B27" s="7">
        <v>9.3955975416818784</v>
      </c>
      <c r="C27" s="7">
        <v>261.7301686746988</v>
      </c>
      <c r="D27" s="8">
        <v>49.924037527653432</v>
      </c>
      <c r="E27" s="8">
        <v>12.875</v>
      </c>
      <c r="F27" s="6">
        <v>0.9</v>
      </c>
      <c r="G27" s="9">
        <f>$G26</f>
        <v>42.164888888888889</v>
      </c>
      <c r="H27" s="9">
        <f t="shared" si="6"/>
        <v>1.3420440195605763</v>
      </c>
      <c r="I27" s="6">
        <v>11</v>
      </c>
      <c r="J27" s="6">
        <v>0.85</v>
      </c>
      <c r="K27" s="6">
        <v>5000</v>
      </c>
      <c r="L27" s="6">
        <v>1240</v>
      </c>
      <c r="M27" s="6">
        <v>44.7</v>
      </c>
      <c r="N27" s="6">
        <f>$N26</f>
        <v>1.865</v>
      </c>
      <c r="O27" s="6">
        <f>M27*N27</f>
        <v>83.365500000000011</v>
      </c>
      <c r="P27" s="10">
        <f t="shared" si="7"/>
        <v>6429.6108937129429</v>
      </c>
      <c r="Q27" s="9">
        <f>(21.37+(C27/(E27*F27))*((0.0037*G27)+(0.0000601*P27)-(0.00362*O27)))</f>
        <v>26.805553271559099</v>
      </c>
      <c r="R27" s="11">
        <f t="shared" si="8"/>
        <v>3.8250594913147543E-2</v>
      </c>
    </row>
    <row r="28" spans="1:18" ht="16" customHeight="1">
      <c r="A28" s="6" t="s">
        <v>45</v>
      </c>
      <c r="B28" s="7">
        <v>9.8878544480954176</v>
      </c>
      <c r="C28" s="7">
        <v>245.92402409638549</v>
      </c>
      <c r="D28" s="8">
        <v>38.642317191826933</v>
      </c>
      <c r="E28" s="8">
        <v>11.013824884792626</v>
      </c>
      <c r="F28" s="6">
        <v>0.9</v>
      </c>
      <c r="G28" s="9">
        <f>$G27</f>
        <v>42.164888888888889</v>
      </c>
      <c r="H28" s="9">
        <f t="shared" si="6"/>
        <v>1.0304617917820516</v>
      </c>
      <c r="I28" s="6">
        <v>11</v>
      </c>
      <c r="J28" s="6">
        <v>0.85</v>
      </c>
      <c r="K28" s="6">
        <v>5000</v>
      </c>
      <c r="L28" s="6">
        <v>1250</v>
      </c>
      <c r="M28" s="6">
        <v>44.7</v>
      </c>
      <c r="N28" s="6">
        <f>$N27</f>
        <v>1.865</v>
      </c>
      <c r="O28" s="6">
        <f>M28*N28</f>
        <v>83.365500000000011</v>
      </c>
      <c r="P28" s="10">
        <f t="shared" si="7"/>
        <v>4976.6620625837722</v>
      </c>
      <c r="Q28" s="9">
        <f>(21.37+(C28/(E28*F28))*((0.0037*G28)+(0.0000601*P28)-(0.00362*O28)))</f>
        <v>25.173920796926584</v>
      </c>
      <c r="R28" s="11">
        <f t="shared" si="8"/>
        <v>3.5922311956178204E-2</v>
      </c>
    </row>
    <row r="29" spans="1:18" ht="16" customHeight="1">
      <c r="A29" s="6" t="s">
        <v>56</v>
      </c>
      <c r="B29" s="7">
        <v>9.8064355063351041</v>
      </c>
      <c r="C29" s="7">
        <v>354.70334939759039</v>
      </c>
      <c r="D29" s="8">
        <v>59.805452436194862</v>
      </c>
      <c r="E29" s="8">
        <v>15.456</v>
      </c>
      <c r="F29" s="6">
        <v>0.9</v>
      </c>
      <c r="G29" s="9">
        <f>$G28</f>
        <v>42.164888888888889</v>
      </c>
      <c r="H29" s="9">
        <f t="shared" si="6"/>
        <v>1.5334731393896119</v>
      </c>
      <c r="I29" s="6">
        <v>11</v>
      </c>
      <c r="J29" s="6">
        <v>0.85</v>
      </c>
      <c r="K29" s="6">
        <v>5000</v>
      </c>
      <c r="L29" s="6">
        <v>1300</v>
      </c>
      <c r="M29" s="6">
        <v>44.7</v>
      </c>
      <c r="N29" s="6">
        <f>$N28</f>
        <v>1.865</v>
      </c>
      <c r="O29" s="6">
        <f>M29*N29</f>
        <v>83.365500000000011</v>
      </c>
      <c r="P29" s="10">
        <f t="shared" si="7"/>
        <v>7702.2173592069157</v>
      </c>
      <c r="Q29" s="9">
        <f>(21.37+(C29/(E29*F29))*((0.0037*G29)+(0.0000601*P29)-(0.00362*O29)))</f>
        <v>29.456551004682147</v>
      </c>
      <c r="R29" s="11">
        <f t="shared" si="8"/>
        <v>4.2033476742822387E-2</v>
      </c>
    </row>
    <row r="30" spans="1:18" ht="16" customHeight="1">
      <c r="D30" s="19"/>
      <c r="F30" s="19"/>
      <c r="P30" s="41" t="s">
        <v>59</v>
      </c>
      <c r="Q30" s="42">
        <f>AVERAGE(Q25:Q29)</f>
        <v>25.643070470854195</v>
      </c>
      <c r="R30" s="43">
        <f>AVERAGE(R25:R29)</f>
        <v>3.6591772270958577E-2</v>
      </c>
    </row>
    <row r="32" spans="1:18" ht="16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41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131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8" ht="16" customHeight="1">
      <c r="A34" s="6" t="s">
        <v>44</v>
      </c>
      <c r="B34" s="7">
        <v>9.1476887347369296</v>
      </c>
      <c r="C34" s="7">
        <v>294.35539759036146</v>
      </c>
      <c r="D34" s="8">
        <v>29.571161147437262</v>
      </c>
      <c r="E34" s="8">
        <v>8.9267676767676765</v>
      </c>
      <c r="F34" s="6">
        <v>0.9</v>
      </c>
      <c r="G34" s="9">
        <f>'Summary N2O from residue'!H12*1000</f>
        <v>52.369333333333337</v>
      </c>
      <c r="H34" s="9">
        <f>D34*100/(3000*L34/1000)</f>
        <v>0.78856429726499366</v>
      </c>
      <c r="I34" s="6">
        <v>11</v>
      </c>
      <c r="J34" s="6">
        <v>0.85</v>
      </c>
      <c r="K34" s="6">
        <v>5000</v>
      </c>
      <c r="L34" s="6">
        <v>1250</v>
      </c>
      <c r="M34" s="6">
        <v>44.7</v>
      </c>
      <c r="N34" s="6">
        <f>N25</f>
        <v>1.865</v>
      </c>
      <c r="O34" s="6">
        <f>M34*N34</f>
        <v>83.365500000000011</v>
      </c>
      <c r="P34" s="10">
        <f>((H34/100)*K34*L34)/I34*J34</f>
        <v>3808.4071174729802</v>
      </c>
      <c r="Q34" s="9">
        <f>(21.37+(C34/(E34*F34))*((0.0037*G34)+(0.0000601*P34)-(0.00362*O34)))</f>
        <v>25.798422832853866</v>
      </c>
      <c r="R34" s="11">
        <f>(44/28)*0.0075*(14/62)*Q34/N34</f>
        <v>3.6813454703977226E-2</v>
      </c>
    </row>
    <row r="35" spans="1:18" ht="16" customHeight="1">
      <c r="A35" s="6" t="s">
        <v>43</v>
      </c>
      <c r="B35" s="7">
        <v>10.109387796887795</v>
      </c>
      <c r="C35" s="7">
        <v>190.99083783783794</v>
      </c>
      <c r="D35" s="8">
        <v>24.396104580928402</v>
      </c>
      <c r="E35" s="8">
        <v>9.1900826446280988</v>
      </c>
      <c r="F35" s="6">
        <v>0.9</v>
      </c>
      <c r="G35" s="9">
        <f>$G34</f>
        <v>52.369333333333337</v>
      </c>
      <c r="H35" s="9">
        <f t="shared" ref="H35:H38" si="9">D35*100/(3000*L35/1000)</f>
        <v>0.62076601987095159</v>
      </c>
      <c r="I35" s="6">
        <v>11</v>
      </c>
      <c r="J35" s="6">
        <v>0.85</v>
      </c>
      <c r="K35" s="6">
        <v>5000</v>
      </c>
      <c r="L35" s="6">
        <v>1310</v>
      </c>
      <c r="M35" s="6">
        <v>44.7</v>
      </c>
      <c r="N35" s="6">
        <f>$N34</f>
        <v>1.865</v>
      </c>
      <c r="O35" s="6">
        <f>M35*N35</f>
        <v>83.365500000000011</v>
      </c>
      <c r="P35" s="10">
        <f t="shared" ref="P35:P38" si="10">((H35/100)*K35*L35)/I35*J35</f>
        <v>3141.9225596650213</v>
      </c>
      <c r="Q35" s="9">
        <f>(21.37+(C35/(E35*F35))*((0.0037*G35)+(0.0000601*P35)-(0.00362*O35)))</f>
        <v>23.236086070607993</v>
      </c>
      <c r="R35" s="11">
        <f t="shared" ref="R35:R38" si="11">(44/28)*0.0075*(14/62)*Q35/N35</f>
        <v>3.315708900501875E-2</v>
      </c>
    </row>
    <row r="36" spans="1:18" ht="16" customHeight="1">
      <c r="A36" s="6" t="s">
        <v>42</v>
      </c>
      <c r="B36" s="7">
        <v>9.3955975416818784</v>
      </c>
      <c r="C36" s="7">
        <v>261.7301686746988</v>
      </c>
      <c r="D36" s="8">
        <v>49.924037527653432</v>
      </c>
      <c r="E36" s="8">
        <v>12.875</v>
      </c>
      <c r="F36" s="6">
        <v>0.9</v>
      </c>
      <c r="G36" s="9">
        <f>$G35</f>
        <v>52.369333333333337</v>
      </c>
      <c r="H36" s="9">
        <f t="shared" si="9"/>
        <v>1.3420440195605763</v>
      </c>
      <c r="I36" s="6">
        <v>11</v>
      </c>
      <c r="J36" s="6">
        <v>0.85</v>
      </c>
      <c r="K36" s="6">
        <v>5000</v>
      </c>
      <c r="L36" s="6">
        <v>1240</v>
      </c>
      <c r="M36" s="6">
        <v>44.7</v>
      </c>
      <c r="N36" s="6">
        <f>$N35</f>
        <v>1.865</v>
      </c>
      <c r="O36" s="6">
        <f>M36*N36</f>
        <v>83.365500000000011</v>
      </c>
      <c r="P36" s="10">
        <f t="shared" si="10"/>
        <v>6429.6108937129429</v>
      </c>
      <c r="Q36" s="9">
        <f>(21.37+(C36/(E36*F36))*((0.0037*G36)+(0.0000601*P36)-(0.00362*O36)))</f>
        <v>27.658368854989632</v>
      </c>
      <c r="R36" s="11">
        <f t="shared" si="11"/>
        <v>3.9467533175415452E-2</v>
      </c>
    </row>
    <row r="37" spans="1:18" ht="16" customHeight="1">
      <c r="A37" s="6" t="s">
        <v>45</v>
      </c>
      <c r="B37" s="7">
        <v>9.8878544480954176</v>
      </c>
      <c r="C37" s="7">
        <v>245.92402409638549</v>
      </c>
      <c r="D37" s="8">
        <v>38.642317191826933</v>
      </c>
      <c r="E37" s="8">
        <v>11.013824884792626</v>
      </c>
      <c r="F37" s="6">
        <v>0.9</v>
      </c>
      <c r="G37" s="9">
        <f>$G36</f>
        <v>52.369333333333337</v>
      </c>
      <c r="H37" s="9">
        <f t="shared" si="9"/>
        <v>1.0304617917820516</v>
      </c>
      <c r="I37" s="6">
        <v>11</v>
      </c>
      <c r="J37" s="6">
        <v>0.85</v>
      </c>
      <c r="K37" s="6">
        <v>5000</v>
      </c>
      <c r="L37" s="6">
        <v>1250</v>
      </c>
      <c r="M37" s="6">
        <v>44.7</v>
      </c>
      <c r="N37" s="6">
        <f>$N36</f>
        <v>1.865</v>
      </c>
      <c r="O37" s="6">
        <f>M37*N37</f>
        <v>83.365500000000011</v>
      </c>
      <c r="P37" s="10">
        <f t="shared" si="10"/>
        <v>4976.6620625837722</v>
      </c>
      <c r="Q37" s="9">
        <f>(21.37+(C37/(E37*F37))*((0.0037*G37)+(0.0000601*P37)-(0.00362*O37)))</f>
        <v>26.110644197892096</v>
      </c>
      <c r="R37" s="11">
        <f t="shared" si="11"/>
        <v>3.7258983764180534E-2</v>
      </c>
    </row>
    <row r="38" spans="1:18" ht="16" customHeight="1">
      <c r="A38" s="6" t="s">
        <v>56</v>
      </c>
      <c r="B38" s="7">
        <v>9.8064355063351041</v>
      </c>
      <c r="C38" s="7">
        <v>354.70334939759039</v>
      </c>
      <c r="D38" s="8">
        <v>59.805452436194862</v>
      </c>
      <c r="E38" s="8">
        <v>15.456</v>
      </c>
      <c r="F38" s="6">
        <v>0.9</v>
      </c>
      <c r="G38" s="9">
        <f>$G37</f>
        <v>52.369333333333337</v>
      </c>
      <c r="H38" s="9">
        <f t="shared" si="9"/>
        <v>1.5334731393896119</v>
      </c>
      <c r="I38" s="6">
        <v>11</v>
      </c>
      <c r="J38" s="6">
        <v>0.85</v>
      </c>
      <c r="K38" s="6">
        <v>5000</v>
      </c>
      <c r="L38" s="6">
        <v>1300</v>
      </c>
      <c r="M38" s="6">
        <v>44.7</v>
      </c>
      <c r="N38" s="6">
        <f>$N37</f>
        <v>1.865</v>
      </c>
      <c r="O38" s="6">
        <f>M38*N38</f>
        <v>83.365500000000011</v>
      </c>
      <c r="P38" s="10">
        <f t="shared" si="10"/>
        <v>7702.2173592069157</v>
      </c>
      <c r="Q38" s="9">
        <f>(21.37+(C38/(E38*F38))*((0.0037*G38)+(0.0000601*P38)-(0.00362*O38)))</f>
        <v>30.41930817239756</v>
      </c>
      <c r="R38" s="11">
        <f t="shared" si="11"/>
        <v>4.3407297833136696E-2</v>
      </c>
    </row>
    <row r="39" spans="1:18" ht="16" customHeight="1">
      <c r="D39" s="19"/>
      <c r="F39" s="19"/>
      <c r="P39" s="41" t="s">
        <v>59</v>
      </c>
      <c r="Q39" s="42">
        <f>AVERAGE(Q34:Q38)</f>
        <v>26.64456602574823</v>
      </c>
      <c r="R39" s="43">
        <f>AVERAGE(R34:R38)</f>
        <v>3.8020871696345729E-2</v>
      </c>
    </row>
    <row r="41" spans="1:18" ht="16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18" ht="41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131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8" ht="16" customHeight="1">
      <c r="A43" s="6" t="s">
        <v>44</v>
      </c>
      <c r="B43" s="7">
        <v>9.1476887347369296</v>
      </c>
      <c r="C43" s="7">
        <v>294.35539759036146</v>
      </c>
      <c r="D43" s="8">
        <v>29.571161147437262</v>
      </c>
      <c r="E43" s="8">
        <v>8.9267676767676765</v>
      </c>
      <c r="F43" s="6">
        <v>0.9</v>
      </c>
      <c r="G43" s="9">
        <f>'Summary N2O from residue'!H13*1000</f>
        <v>53.716444444444434</v>
      </c>
      <c r="H43" s="9">
        <f>D43*100/(3000*L43/1000)</f>
        <v>0.78856429726499366</v>
      </c>
      <c r="I43" s="6">
        <v>11</v>
      </c>
      <c r="J43" s="6">
        <v>0.85</v>
      </c>
      <c r="K43" s="6">
        <v>5000</v>
      </c>
      <c r="L43" s="6">
        <v>1250</v>
      </c>
      <c r="M43" s="6">
        <v>44.7</v>
      </c>
      <c r="N43" s="6">
        <f>N34</f>
        <v>1.865</v>
      </c>
      <c r="O43" s="6">
        <f>M43*N43</f>
        <v>83.365500000000011</v>
      </c>
      <c r="P43" s="10">
        <f>((H43/100)*K43*L43)/I43*J43</f>
        <v>3808.4071174729802</v>
      </c>
      <c r="Q43" s="9">
        <f>(21.37+(C43/(E43*F43))*((0.0037*G43)+(0.0000601*P43)-(0.00362*O43)))</f>
        <v>25.981039496696319</v>
      </c>
      <c r="R43" s="11">
        <f>(44/28)*0.0075*(14/62)*Q43/N43</f>
        <v>3.7074042350210952E-2</v>
      </c>
    </row>
    <row r="44" spans="1:18" ht="16" customHeight="1">
      <c r="A44" s="6" t="s">
        <v>43</v>
      </c>
      <c r="B44" s="7">
        <v>10.109387796887795</v>
      </c>
      <c r="C44" s="7">
        <v>190.99083783783794</v>
      </c>
      <c r="D44" s="8">
        <v>24.396104580928402</v>
      </c>
      <c r="E44" s="8">
        <v>9.1900826446280988</v>
      </c>
      <c r="F44" s="6">
        <v>0.9</v>
      </c>
      <c r="G44" s="9">
        <f>$G43</f>
        <v>53.716444444444434</v>
      </c>
      <c r="H44" s="9">
        <f t="shared" ref="H44:H47" si="12">D44*100/(3000*L44/1000)</f>
        <v>0.62076601987095159</v>
      </c>
      <c r="I44" s="6">
        <v>11</v>
      </c>
      <c r="J44" s="6">
        <v>0.85</v>
      </c>
      <c r="K44" s="6">
        <v>5000</v>
      </c>
      <c r="L44" s="6">
        <v>1310</v>
      </c>
      <c r="M44" s="6">
        <v>44.7</v>
      </c>
      <c r="N44" s="6">
        <f>$N43</f>
        <v>1.865</v>
      </c>
      <c r="O44" s="6">
        <f>M44*N44</f>
        <v>83.365500000000011</v>
      </c>
      <c r="P44" s="10">
        <f t="shared" ref="P44:P47" si="13">((H44/100)*K44*L44)/I44*J44</f>
        <v>3141.9225596650213</v>
      </c>
      <c r="Q44" s="9">
        <f>(21.37+(C44/(E44*F44))*((0.0037*G44)+(0.0000601*P44)-(0.00362*O44)))</f>
        <v>23.351180883131796</v>
      </c>
      <c r="R44" s="11">
        <f t="shared" ref="R44:R47" si="14">(44/28)*0.0075*(14/62)*Q44/N44</f>
        <v>3.3321325311050295E-2</v>
      </c>
    </row>
    <row r="45" spans="1:18" ht="16" customHeight="1">
      <c r="A45" s="6" t="s">
        <v>42</v>
      </c>
      <c r="B45" s="7">
        <v>9.3955975416818784</v>
      </c>
      <c r="C45" s="7">
        <v>261.7301686746988</v>
      </c>
      <c r="D45" s="8">
        <v>49.924037527653432</v>
      </c>
      <c r="E45" s="8">
        <v>12.875</v>
      </c>
      <c r="F45" s="6">
        <v>0.9</v>
      </c>
      <c r="G45" s="9">
        <f>$G44</f>
        <v>53.716444444444434</v>
      </c>
      <c r="H45" s="9">
        <f t="shared" si="12"/>
        <v>1.3420440195605763</v>
      </c>
      <c r="I45" s="6">
        <v>11</v>
      </c>
      <c r="J45" s="6">
        <v>0.85</v>
      </c>
      <c r="K45" s="6">
        <v>5000</v>
      </c>
      <c r="L45" s="6">
        <v>1240</v>
      </c>
      <c r="M45" s="6">
        <v>44.7</v>
      </c>
      <c r="N45" s="6">
        <f>$N44</f>
        <v>1.865</v>
      </c>
      <c r="O45" s="6">
        <f>M45*N45</f>
        <v>83.365500000000011</v>
      </c>
      <c r="P45" s="10">
        <f t="shared" si="13"/>
        <v>6429.6108937129429</v>
      </c>
      <c r="Q45" s="9">
        <f>(21.37+(C45/(E45*F45))*((0.0037*G45)+(0.0000601*P45)-(0.00362*O45)))</f>
        <v>27.770950912192507</v>
      </c>
      <c r="R45" s="11">
        <f t="shared" si="14"/>
        <v>3.9628183866745333E-2</v>
      </c>
    </row>
    <row r="46" spans="1:18" ht="16" customHeight="1">
      <c r="A46" s="6" t="s">
        <v>45</v>
      </c>
      <c r="B46" s="7">
        <v>9.8878544480954176</v>
      </c>
      <c r="C46" s="7">
        <v>245.92402409638549</v>
      </c>
      <c r="D46" s="8">
        <v>38.642317191826933</v>
      </c>
      <c r="E46" s="8">
        <v>11.013824884792626</v>
      </c>
      <c r="F46" s="6">
        <v>0.9</v>
      </c>
      <c r="G46" s="9">
        <f>$G45</f>
        <v>53.716444444444434</v>
      </c>
      <c r="H46" s="9">
        <f t="shared" si="12"/>
        <v>1.0304617917820516</v>
      </c>
      <c r="I46" s="6">
        <v>11</v>
      </c>
      <c r="J46" s="6">
        <v>0.85</v>
      </c>
      <c r="K46" s="6">
        <v>5000</v>
      </c>
      <c r="L46" s="6">
        <v>1250</v>
      </c>
      <c r="M46" s="6">
        <v>44.7</v>
      </c>
      <c r="N46" s="6">
        <f>$N45</f>
        <v>1.865</v>
      </c>
      <c r="O46" s="6">
        <f>M46*N46</f>
        <v>83.365500000000011</v>
      </c>
      <c r="P46" s="10">
        <f t="shared" si="13"/>
        <v>4976.6620625837722</v>
      </c>
      <c r="Q46" s="9">
        <f>(21.37+(C46/(E46*F46))*((0.0037*G46)+(0.0000601*P46)-(0.00362*O46)))</f>
        <v>26.234303110275654</v>
      </c>
      <c r="R46" s="11">
        <f t="shared" si="14"/>
        <v>3.743544074371255E-2</v>
      </c>
    </row>
    <row r="47" spans="1:18" ht="16" customHeight="1">
      <c r="A47" s="6" t="s">
        <v>56</v>
      </c>
      <c r="B47" s="7">
        <v>9.8064355063351041</v>
      </c>
      <c r="C47" s="7">
        <v>354.70334939759039</v>
      </c>
      <c r="D47" s="8">
        <v>59.805452436194862</v>
      </c>
      <c r="E47" s="8">
        <v>15.456</v>
      </c>
      <c r="F47" s="6">
        <v>0.9</v>
      </c>
      <c r="G47" s="9">
        <f>$G46</f>
        <v>53.716444444444434</v>
      </c>
      <c r="H47" s="9">
        <f t="shared" si="12"/>
        <v>1.5334731393896119</v>
      </c>
      <c r="I47" s="6">
        <v>11</v>
      </c>
      <c r="J47" s="6">
        <v>0.85</v>
      </c>
      <c r="K47" s="6">
        <v>5000</v>
      </c>
      <c r="L47" s="6">
        <v>1300</v>
      </c>
      <c r="M47" s="6">
        <v>44.7</v>
      </c>
      <c r="N47" s="6">
        <f>$N46</f>
        <v>1.865</v>
      </c>
      <c r="O47" s="6">
        <f>M47*N47</f>
        <v>83.365500000000011</v>
      </c>
      <c r="P47" s="10">
        <f t="shared" si="13"/>
        <v>7702.2173592069157</v>
      </c>
      <c r="Q47" s="9">
        <f>(21.37+(C47/(E47*F47))*((0.0037*G47)+(0.0000601*P47)-(0.00362*O47)))</f>
        <v>30.546403859477063</v>
      </c>
      <c r="R47" s="11">
        <f t="shared" si="14"/>
        <v>4.3588658970973922E-2</v>
      </c>
    </row>
    <row r="48" spans="1:18" ht="16" customHeight="1">
      <c r="D48" s="19"/>
      <c r="F48" s="19"/>
      <c r="P48" s="41" t="s">
        <v>59</v>
      </c>
      <c r="Q48" s="42">
        <f>AVERAGE(Q43:Q47)</f>
        <v>26.776775652354665</v>
      </c>
      <c r="R48" s="43">
        <f>AVERAGE(R43:R47)</f>
        <v>3.8209530248538612E-2</v>
      </c>
    </row>
    <row r="50" spans="1:18" ht="16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41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131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8" ht="16" customHeight="1">
      <c r="A52" s="6" t="s">
        <v>44</v>
      </c>
      <c r="B52" s="7">
        <v>9.1476887347369296</v>
      </c>
      <c r="C52" s="7">
        <v>294.35539759036146</v>
      </c>
      <c r="D52" s="8">
        <v>29.571161147437262</v>
      </c>
      <c r="E52" s="8">
        <v>8.9267676767676765</v>
      </c>
      <c r="F52" s="6">
        <v>0.9</v>
      </c>
      <c r="G52" s="9">
        <f>'Summary N2O from residue'!H14*1000</f>
        <v>63.920888888888889</v>
      </c>
      <c r="H52" s="9">
        <f>D52*100/(3000*L52/1000)</f>
        <v>0.78856429726499366</v>
      </c>
      <c r="I52" s="6">
        <v>11</v>
      </c>
      <c r="J52" s="6">
        <v>0.85</v>
      </c>
      <c r="K52" s="6">
        <v>5000</v>
      </c>
      <c r="L52" s="6">
        <v>1250</v>
      </c>
      <c r="M52" s="6">
        <v>44.7</v>
      </c>
      <c r="N52" s="6">
        <f>N43</f>
        <v>1.865</v>
      </c>
      <c r="O52" s="6">
        <f>M52*N52</f>
        <v>83.365500000000011</v>
      </c>
      <c r="P52" s="10">
        <f>((H52/100)*K52*L52)/I52*J52</f>
        <v>3808.4071174729802</v>
      </c>
      <c r="Q52" s="9">
        <f>(21.37+(C52/(E52*F52))*((0.0037*G52)+(0.0000601*P52)-(0.00362*O52)))</f>
        <v>27.364371268990194</v>
      </c>
      <c r="R52" s="11">
        <f>(44/28)*0.0075*(14/62)*Q52/N52</f>
        <v>3.9048008815907469E-2</v>
      </c>
    </row>
    <row r="53" spans="1:18" ht="16" customHeight="1">
      <c r="A53" s="6" t="s">
        <v>43</v>
      </c>
      <c r="B53" s="7">
        <v>10.109387796887795</v>
      </c>
      <c r="C53" s="7">
        <v>190.99083783783794</v>
      </c>
      <c r="D53" s="8">
        <v>24.396104580928402</v>
      </c>
      <c r="E53" s="8">
        <v>9.1900826446280988</v>
      </c>
      <c r="F53" s="6">
        <v>0.9</v>
      </c>
      <c r="G53" s="9">
        <f>$G52</f>
        <v>63.920888888888889</v>
      </c>
      <c r="H53" s="9">
        <f t="shared" ref="H53:H56" si="15">D53*100/(3000*L53/1000)</f>
        <v>0.62076601987095159</v>
      </c>
      <c r="I53" s="6">
        <v>11</v>
      </c>
      <c r="J53" s="6">
        <v>0.85</v>
      </c>
      <c r="K53" s="6">
        <v>5000</v>
      </c>
      <c r="L53" s="6">
        <v>1310</v>
      </c>
      <c r="M53" s="6">
        <v>44.7</v>
      </c>
      <c r="N53" s="6">
        <f>$N52</f>
        <v>1.865</v>
      </c>
      <c r="O53" s="6">
        <f>M53*N53</f>
        <v>83.365500000000011</v>
      </c>
      <c r="P53" s="10">
        <f t="shared" ref="P53:P56" si="16">((H53/100)*K53*L53)/I53*J53</f>
        <v>3141.9225596650213</v>
      </c>
      <c r="Q53" s="9">
        <f>(21.37+(C53/(E53*F53))*((0.0037*G53)+(0.0000601*P53)-(0.00362*O53)))</f>
        <v>24.223030733196634</v>
      </c>
      <c r="R53" s="11">
        <f t="shared" ref="R53:R56" si="17">(44/28)*0.0075*(14/62)*Q53/N53</f>
        <v>3.4565424811704951E-2</v>
      </c>
    </row>
    <row r="54" spans="1:18" ht="16" customHeight="1">
      <c r="A54" s="6" t="s">
        <v>42</v>
      </c>
      <c r="B54" s="7">
        <v>9.3955975416818784</v>
      </c>
      <c r="C54" s="7">
        <v>261.7301686746988</v>
      </c>
      <c r="D54" s="8">
        <v>49.924037527653432</v>
      </c>
      <c r="E54" s="8">
        <v>12.875</v>
      </c>
      <c r="F54" s="6">
        <v>0.9</v>
      </c>
      <c r="G54" s="9">
        <f>$G53</f>
        <v>63.920888888888889</v>
      </c>
      <c r="H54" s="9">
        <f t="shared" si="15"/>
        <v>1.3420440195605763</v>
      </c>
      <c r="I54" s="6">
        <v>11</v>
      </c>
      <c r="J54" s="6">
        <v>0.85</v>
      </c>
      <c r="K54" s="6">
        <v>5000</v>
      </c>
      <c r="L54" s="6">
        <v>1240</v>
      </c>
      <c r="M54" s="6">
        <v>44.7</v>
      </c>
      <c r="N54" s="6">
        <f>$N53</f>
        <v>1.865</v>
      </c>
      <c r="O54" s="6">
        <f>M54*N54</f>
        <v>83.365500000000011</v>
      </c>
      <c r="P54" s="10">
        <f t="shared" si="16"/>
        <v>6429.6108937129429</v>
      </c>
      <c r="Q54" s="9">
        <f>(21.37+(C54/(E54*F54))*((0.0037*G54)+(0.0000601*P54)-(0.00362*O54)))</f>
        <v>28.623766495623045</v>
      </c>
      <c r="R54" s="11">
        <f t="shared" si="17"/>
        <v>4.0845122129013242E-2</v>
      </c>
    </row>
    <row r="55" spans="1:18" ht="16" customHeight="1">
      <c r="A55" s="6" t="s">
        <v>45</v>
      </c>
      <c r="B55" s="7">
        <v>9.8878544480954176</v>
      </c>
      <c r="C55" s="7">
        <v>245.92402409638549</v>
      </c>
      <c r="D55" s="8">
        <v>38.642317191826933</v>
      </c>
      <c r="E55" s="8">
        <v>11.013824884792626</v>
      </c>
      <c r="F55" s="6">
        <v>0.9</v>
      </c>
      <c r="G55" s="9">
        <f>$G54</f>
        <v>63.920888888888889</v>
      </c>
      <c r="H55" s="9">
        <f t="shared" si="15"/>
        <v>1.0304617917820516</v>
      </c>
      <c r="I55" s="6">
        <v>11</v>
      </c>
      <c r="J55" s="6">
        <v>0.85</v>
      </c>
      <c r="K55" s="6">
        <v>5000</v>
      </c>
      <c r="L55" s="6">
        <v>1250</v>
      </c>
      <c r="M55" s="6">
        <v>44.7</v>
      </c>
      <c r="N55" s="6">
        <f>$N54</f>
        <v>1.865</v>
      </c>
      <c r="O55" s="6">
        <f>M55*N55</f>
        <v>83.365500000000011</v>
      </c>
      <c r="P55" s="10">
        <f t="shared" si="16"/>
        <v>4976.6620625837722</v>
      </c>
      <c r="Q55" s="9">
        <f>(21.37+(C55/(E55*F55))*((0.0037*G55)+(0.0000601*P55)-(0.00362*O55)))</f>
        <v>27.171026511241166</v>
      </c>
      <c r="R55" s="11">
        <f t="shared" si="17"/>
        <v>3.877211255171488E-2</v>
      </c>
    </row>
    <row r="56" spans="1:18" ht="16" customHeight="1">
      <c r="A56" s="6" t="s">
        <v>56</v>
      </c>
      <c r="B56" s="7">
        <v>9.8064355063351041</v>
      </c>
      <c r="C56" s="7">
        <v>354.70334939759039</v>
      </c>
      <c r="D56" s="8">
        <v>59.805452436194862</v>
      </c>
      <c r="E56" s="8">
        <v>15.456</v>
      </c>
      <c r="F56" s="6">
        <v>0.9</v>
      </c>
      <c r="G56" s="9">
        <f>$G55</f>
        <v>63.920888888888889</v>
      </c>
      <c r="H56" s="9">
        <f t="shared" si="15"/>
        <v>1.5334731393896119</v>
      </c>
      <c r="I56" s="6">
        <v>11</v>
      </c>
      <c r="J56" s="6">
        <v>0.85</v>
      </c>
      <c r="K56" s="6">
        <v>5000</v>
      </c>
      <c r="L56" s="6">
        <v>1300</v>
      </c>
      <c r="M56" s="6">
        <v>44.7</v>
      </c>
      <c r="N56" s="6">
        <f>$N55</f>
        <v>1.865</v>
      </c>
      <c r="O56" s="6">
        <f>M56*N56</f>
        <v>83.365500000000011</v>
      </c>
      <c r="P56" s="10">
        <f t="shared" si="16"/>
        <v>7702.2173592069157</v>
      </c>
      <c r="Q56" s="9">
        <f>(21.37+(C56/(E56*F56))*((0.0037*G56)+(0.0000601*P56)-(0.00362*O56)))</f>
        <v>31.509161027192476</v>
      </c>
      <c r="R56" s="11">
        <f t="shared" si="17"/>
        <v>4.4962480061288224E-2</v>
      </c>
    </row>
    <row r="57" spans="1:18" ht="16" customHeight="1">
      <c r="D57" s="19"/>
      <c r="F57" s="19"/>
      <c r="P57" s="41" t="s">
        <v>59</v>
      </c>
      <c r="Q57" s="42">
        <f>AVERAGE(Q52:Q56)</f>
        <v>27.7782712072487</v>
      </c>
      <c r="R57" s="43">
        <f>AVERAGE(R52:R56)</f>
        <v>3.963862967392575E-2</v>
      </c>
    </row>
    <row r="59" spans="1:18" ht="16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41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131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6" customHeight="1">
      <c r="A61" s="6" t="s">
        <v>44</v>
      </c>
      <c r="B61" s="7">
        <v>9.1476887347369296</v>
      </c>
      <c r="C61" s="7">
        <v>294.35539759036146</v>
      </c>
      <c r="D61" s="8">
        <v>29.571161147437262</v>
      </c>
      <c r="E61" s="8">
        <v>8.9267676767676765</v>
      </c>
      <c r="F61" s="6">
        <v>0.9</v>
      </c>
      <c r="G61" s="9">
        <f>'Summary N2O from residue'!H15*1000</f>
        <v>74.12533333333333</v>
      </c>
      <c r="H61" s="9">
        <f>D61*100/(3000*L61/1000)</f>
        <v>0.78856429726499366</v>
      </c>
      <c r="I61" s="6">
        <v>11</v>
      </c>
      <c r="J61" s="6">
        <v>0.85</v>
      </c>
      <c r="K61" s="6">
        <v>5000</v>
      </c>
      <c r="L61" s="6">
        <v>1250</v>
      </c>
      <c r="M61" s="6">
        <v>44.7</v>
      </c>
      <c r="N61" s="6">
        <f>N52</f>
        <v>1.865</v>
      </c>
      <c r="O61" s="6">
        <f>M61*N61</f>
        <v>83.365500000000011</v>
      </c>
      <c r="P61" s="10">
        <f>((H61/100)*K61*L61)/I61*J61</f>
        <v>3808.4071174729802</v>
      </c>
      <c r="Q61" s="9">
        <f>(21.37+(C61/(E61*F61))*((0.0037*G61)+(0.0000601*P61)-(0.00362*O61)))</f>
        <v>28.747703041284066</v>
      </c>
      <c r="R61" s="11">
        <f>(44/28)*0.0075*(14/62)*Q61/N61</f>
        <v>4.1021975281603992E-2</v>
      </c>
    </row>
    <row r="62" spans="1:18" ht="16" customHeight="1">
      <c r="A62" s="6" t="s">
        <v>43</v>
      </c>
      <c r="B62" s="7">
        <v>10.109387796887795</v>
      </c>
      <c r="C62" s="7">
        <v>190.99083783783794</v>
      </c>
      <c r="D62" s="8">
        <v>24.396104580928402</v>
      </c>
      <c r="E62" s="8">
        <v>9.1900826446280988</v>
      </c>
      <c r="F62" s="6">
        <v>0.9</v>
      </c>
      <c r="G62" s="9">
        <f>$G61</f>
        <v>74.12533333333333</v>
      </c>
      <c r="H62" s="9">
        <f t="shared" ref="H62:H65" si="18">D62*100/(3000*L62/1000)</f>
        <v>0.62076601987095159</v>
      </c>
      <c r="I62" s="6">
        <v>11</v>
      </c>
      <c r="J62" s="6">
        <v>0.85</v>
      </c>
      <c r="K62" s="6">
        <v>5000</v>
      </c>
      <c r="L62" s="6">
        <v>1310</v>
      </c>
      <c r="M62" s="6">
        <v>44.7</v>
      </c>
      <c r="N62" s="6">
        <f>$N61</f>
        <v>1.865</v>
      </c>
      <c r="O62" s="6">
        <f>M62*N62</f>
        <v>83.365500000000011</v>
      </c>
      <c r="P62" s="10">
        <f t="shared" ref="P62:P65" si="19">((H62/100)*K62*L62)/I62*J62</f>
        <v>3141.9225596650213</v>
      </c>
      <c r="Q62" s="9">
        <f>(21.37+(C62/(E62*F62))*((0.0037*G62)+(0.0000601*P62)-(0.00362*O62)))</f>
        <v>25.094880583261471</v>
      </c>
      <c r="R62" s="11">
        <f t="shared" ref="R62:R65" si="20">(44/28)*0.0075*(14/62)*Q62/N62</f>
        <v>3.5809524312359613E-2</v>
      </c>
    </row>
    <row r="63" spans="1:18" ht="16" customHeight="1">
      <c r="A63" s="6" t="s">
        <v>42</v>
      </c>
      <c r="B63" s="7">
        <v>9.3955975416818784</v>
      </c>
      <c r="C63" s="7">
        <v>261.7301686746988</v>
      </c>
      <c r="D63" s="8">
        <v>49.924037527653432</v>
      </c>
      <c r="E63" s="8">
        <v>12.875</v>
      </c>
      <c r="F63" s="6">
        <v>0.9</v>
      </c>
      <c r="G63" s="9">
        <f>$G62</f>
        <v>74.12533333333333</v>
      </c>
      <c r="H63" s="9">
        <f t="shared" si="18"/>
        <v>1.3420440195605763</v>
      </c>
      <c r="I63" s="6">
        <v>11</v>
      </c>
      <c r="J63" s="6">
        <v>0.85</v>
      </c>
      <c r="K63" s="6">
        <v>5000</v>
      </c>
      <c r="L63" s="6">
        <v>1240</v>
      </c>
      <c r="M63" s="6">
        <v>44.7</v>
      </c>
      <c r="N63" s="6">
        <f>$N62</f>
        <v>1.865</v>
      </c>
      <c r="O63" s="6">
        <f>M63*N63</f>
        <v>83.365500000000011</v>
      </c>
      <c r="P63" s="10">
        <f t="shared" si="19"/>
        <v>6429.6108937129429</v>
      </c>
      <c r="Q63" s="9">
        <f>(21.37+(C63/(E63*F63))*((0.0037*G63)+(0.0000601*P63)-(0.00362*O63)))</f>
        <v>29.476582079053578</v>
      </c>
      <c r="R63" s="11">
        <f t="shared" si="20"/>
        <v>4.2062060391281152E-2</v>
      </c>
    </row>
    <row r="64" spans="1:18" ht="16" customHeight="1">
      <c r="A64" s="6" t="s">
        <v>45</v>
      </c>
      <c r="B64" s="7">
        <v>9.8878544480954176</v>
      </c>
      <c r="C64" s="7">
        <v>245.92402409638549</v>
      </c>
      <c r="D64" s="8">
        <v>38.642317191826933</v>
      </c>
      <c r="E64" s="8">
        <v>11.013824884792626</v>
      </c>
      <c r="F64" s="6">
        <v>0.9</v>
      </c>
      <c r="G64" s="9">
        <f>$G63</f>
        <v>74.12533333333333</v>
      </c>
      <c r="H64" s="9">
        <f t="shared" si="18"/>
        <v>1.0304617917820516</v>
      </c>
      <c r="I64" s="6">
        <v>11</v>
      </c>
      <c r="J64" s="6">
        <v>0.85</v>
      </c>
      <c r="K64" s="6">
        <v>5000</v>
      </c>
      <c r="L64" s="6">
        <v>1250</v>
      </c>
      <c r="M64" s="6">
        <v>44.7</v>
      </c>
      <c r="N64" s="6">
        <f>$N63</f>
        <v>1.865</v>
      </c>
      <c r="O64" s="6">
        <f>M64*N64</f>
        <v>83.365500000000011</v>
      </c>
      <c r="P64" s="10">
        <f t="shared" si="19"/>
        <v>4976.6620625837722</v>
      </c>
      <c r="Q64" s="9">
        <f>(21.37+(C64/(E64*F64))*((0.0037*G64)+(0.0000601*P64)-(0.00362*O64)))</f>
        <v>28.107749912206682</v>
      </c>
      <c r="R64" s="11">
        <f t="shared" si="20"/>
        <v>4.0108784359717216E-2</v>
      </c>
    </row>
    <row r="65" spans="1:18" ht="16" customHeight="1">
      <c r="A65" s="6" t="s">
        <v>56</v>
      </c>
      <c r="B65" s="7">
        <v>9.8064355063351041</v>
      </c>
      <c r="C65" s="7">
        <v>354.70334939759039</v>
      </c>
      <c r="D65" s="8">
        <v>59.805452436194862</v>
      </c>
      <c r="E65" s="8">
        <v>15.456</v>
      </c>
      <c r="F65" s="6">
        <v>0.9</v>
      </c>
      <c r="G65" s="9">
        <f>$G64</f>
        <v>74.12533333333333</v>
      </c>
      <c r="H65" s="9">
        <f t="shared" si="18"/>
        <v>1.5334731393896119</v>
      </c>
      <c r="I65" s="6">
        <v>11</v>
      </c>
      <c r="J65" s="6">
        <v>0.85</v>
      </c>
      <c r="K65" s="6">
        <v>5000</v>
      </c>
      <c r="L65" s="6">
        <v>1300</v>
      </c>
      <c r="M65" s="6">
        <v>44.7</v>
      </c>
      <c r="N65" s="6">
        <f>$N64</f>
        <v>1.865</v>
      </c>
      <c r="O65" s="6">
        <f>M65*N65</f>
        <v>83.365500000000011</v>
      </c>
      <c r="P65" s="10">
        <f t="shared" si="19"/>
        <v>7702.2173592069157</v>
      </c>
      <c r="Q65" s="9">
        <f>(21.37+(C65/(E65*F65))*((0.0037*G65)+(0.0000601*P65)-(0.00362*O65)))</f>
        <v>32.471918194907893</v>
      </c>
      <c r="R65" s="11">
        <f t="shared" si="20"/>
        <v>4.6336301151602539E-2</v>
      </c>
    </row>
    <row r="66" spans="1:18" ht="16" customHeight="1">
      <c r="D66" s="19"/>
      <c r="F66" s="19"/>
      <c r="P66" s="41" t="s">
        <v>59</v>
      </c>
      <c r="Q66" s="42">
        <f>AVERAGE(Q61:Q65)</f>
        <v>28.779766762142735</v>
      </c>
      <c r="R66" s="43">
        <f>AVERAGE(R61:R65)</f>
        <v>4.1067729099312902E-2</v>
      </c>
    </row>
    <row r="68" spans="1:18" ht="16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8" ht="41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131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6" customHeight="1">
      <c r="A70" s="6" t="s">
        <v>44</v>
      </c>
      <c r="B70" s="7">
        <v>9.1476887347369296</v>
      </c>
      <c r="C70" s="7">
        <v>294.35539759036146</v>
      </c>
      <c r="D70" s="8">
        <v>29.571161147437262</v>
      </c>
      <c r="E70" s="8">
        <v>8.9267676767676765</v>
      </c>
      <c r="F70" s="6">
        <v>0.9</v>
      </c>
      <c r="G70" s="9">
        <f>'Summary N2O from residue'!H16*1000</f>
        <v>75.47244444444442</v>
      </c>
      <c r="H70" s="9">
        <f>D70*100/(3000*L70/1000)</f>
        <v>0.78856429726499366</v>
      </c>
      <c r="I70" s="6">
        <v>11</v>
      </c>
      <c r="J70" s="6">
        <v>0.85</v>
      </c>
      <c r="K70" s="6">
        <v>5000</v>
      </c>
      <c r="L70" s="6">
        <v>1250</v>
      </c>
      <c r="M70" s="6">
        <v>44.7</v>
      </c>
      <c r="N70" s="6">
        <f>N61</f>
        <v>1.865</v>
      </c>
      <c r="O70" s="6">
        <f>M70*N70</f>
        <v>83.365500000000011</v>
      </c>
      <c r="P70" s="10">
        <f>((H70/100)*K70*L70)/I70*J70</f>
        <v>3808.4071174729802</v>
      </c>
      <c r="Q70" s="9">
        <f>(21.37+(C70/(E70*F70))*((0.0037*G70)+(0.0000601*P70)-(0.00362*O70)))</f>
        <v>28.930319705126522</v>
      </c>
      <c r="R70" s="11">
        <f>(44/28)*0.0075*(14/62)*Q70/N70</f>
        <v>4.1282562927837711E-2</v>
      </c>
    </row>
    <row r="71" spans="1:18" ht="16" customHeight="1">
      <c r="A71" s="6" t="s">
        <v>43</v>
      </c>
      <c r="B71" s="7">
        <v>10.109387796887795</v>
      </c>
      <c r="C71" s="7">
        <v>190.99083783783794</v>
      </c>
      <c r="D71" s="8">
        <v>24.396104580928402</v>
      </c>
      <c r="E71" s="8">
        <v>9.1900826446280988</v>
      </c>
      <c r="F71" s="6">
        <v>0.9</v>
      </c>
      <c r="G71" s="9">
        <f>$G70</f>
        <v>75.47244444444442</v>
      </c>
      <c r="H71" s="9">
        <f t="shared" ref="H71:H74" si="21">D71*100/(3000*L71/1000)</f>
        <v>0.62076601987095159</v>
      </c>
      <c r="I71" s="6">
        <v>11</v>
      </c>
      <c r="J71" s="6">
        <v>0.85</v>
      </c>
      <c r="K71" s="6">
        <v>5000</v>
      </c>
      <c r="L71" s="6">
        <v>1310</v>
      </c>
      <c r="M71" s="6">
        <v>44.7</v>
      </c>
      <c r="N71" s="6">
        <f>$N70</f>
        <v>1.865</v>
      </c>
      <c r="O71" s="6">
        <f>M71*N71</f>
        <v>83.365500000000011</v>
      </c>
      <c r="P71" s="10">
        <f t="shared" ref="P71:P74" si="22">((H71/100)*K71*L71)/I71*J71</f>
        <v>3141.9225596650213</v>
      </c>
      <c r="Q71" s="9">
        <f>(21.37+(C71/(E71*F71))*((0.0037*G71)+(0.0000601*P71)-(0.00362*O71)))</f>
        <v>25.209975395785271</v>
      </c>
      <c r="R71" s="11">
        <f t="shared" ref="R71:R74" si="23">(44/28)*0.0075*(14/62)*Q71/N71</f>
        <v>3.5973760618391151E-2</v>
      </c>
    </row>
    <row r="72" spans="1:18" ht="16" customHeight="1">
      <c r="A72" s="6" t="s">
        <v>42</v>
      </c>
      <c r="B72" s="7">
        <v>9.3955975416818784</v>
      </c>
      <c r="C72" s="7">
        <v>261.7301686746988</v>
      </c>
      <c r="D72" s="8">
        <v>49.924037527653432</v>
      </c>
      <c r="E72" s="8">
        <v>12.875</v>
      </c>
      <c r="F72" s="6">
        <v>0.9</v>
      </c>
      <c r="G72" s="9">
        <f>$G71</f>
        <v>75.47244444444442</v>
      </c>
      <c r="H72" s="9">
        <f t="shared" si="21"/>
        <v>1.3420440195605763</v>
      </c>
      <c r="I72" s="6">
        <v>11</v>
      </c>
      <c r="J72" s="6">
        <v>0.85</v>
      </c>
      <c r="K72" s="6">
        <v>5000</v>
      </c>
      <c r="L72" s="6">
        <v>1240</v>
      </c>
      <c r="M72" s="6">
        <v>44.7</v>
      </c>
      <c r="N72" s="6">
        <f>$N71</f>
        <v>1.865</v>
      </c>
      <c r="O72" s="6">
        <f>M72*N72</f>
        <v>83.365500000000011</v>
      </c>
      <c r="P72" s="10">
        <f t="shared" si="22"/>
        <v>6429.6108937129429</v>
      </c>
      <c r="Q72" s="9">
        <f>(21.37+(C72/(E72*F72))*((0.0037*G72)+(0.0000601*P72)-(0.00362*O72)))</f>
        <v>29.58916413625645</v>
      </c>
      <c r="R72" s="11">
        <f t="shared" si="23"/>
        <v>4.2222711082611025E-2</v>
      </c>
    </row>
    <row r="73" spans="1:18" ht="16" customHeight="1">
      <c r="A73" s="6" t="s">
        <v>45</v>
      </c>
      <c r="B73" s="7">
        <v>9.8878544480954176</v>
      </c>
      <c r="C73" s="7">
        <v>245.92402409638549</v>
      </c>
      <c r="D73" s="8">
        <v>38.642317191826933</v>
      </c>
      <c r="E73" s="8">
        <v>11.013824884792626</v>
      </c>
      <c r="F73" s="6">
        <v>0.9</v>
      </c>
      <c r="G73" s="9">
        <f>$G72</f>
        <v>75.47244444444442</v>
      </c>
      <c r="H73" s="9">
        <f t="shared" si="21"/>
        <v>1.0304617917820516</v>
      </c>
      <c r="I73" s="6">
        <v>11</v>
      </c>
      <c r="J73" s="6">
        <v>0.85</v>
      </c>
      <c r="K73" s="6">
        <v>5000</v>
      </c>
      <c r="L73" s="6">
        <v>1250</v>
      </c>
      <c r="M73" s="6">
        <v>44.7</v>
      </c>
      <c r="N73" s="6">
        <f>$N72</f>
        <v>1.865</v>
      </c>
      <c r="O73" s="6">
        <f>M73*N73</f>
        <v>83.365500000000011</v>
      </c>
      <c r="P73" s="10">
        <f t="shared" si="22"/>
        <v>4976.6620625837722</v>
      </c>
      <c r="Q73" s="9">
        <f>(21.37+(C73/(E73*F73))*((0.0037*G73)+(0.0000601*P73)-(0.00362*O73)))</f>
        <v>28.231408824590236</v>
      </c>
      <c r="R73" s="11">
        <f t="shared" si="23"/>
        <v>4.0285241339249225E-2</v>
      </c>
    </row>
    <row r="74" spans="1:18" ht="16" customHeight="1">
      <c r="A74" s="6" t="s">
        <v>56</v>
      </c>
      <c r="B74" s="7">
        <v>9.8064355063351041</v>
      </c>
      <c r="C74" s="7">
        <v>354.70334939759039</v>
      </c>
      <c r="D74" s="8">
        <v>59.805452436194862</v>
      </c>
      <c r="E74" s="8">
        <v>15.456</v>
      </c>
      <c r="F74" s="6">
        <v>0.9</v>
      </c>
      <c r="G74" s="9">
        <f>$G73</f>
        <v>75.47244444444442</v>
      </c>
      <c r="H74" s="9">
        <f t="shared" si="21"/>
        <v>1.5334731393896119</v>
      </c>
      <c r="I74" s="6">
        <v>11</v>
      </c>
      <c r="J74" s="6">
        <v>0.85</v>
      </c>
      <c r="K74" s="6">
        <v>5000</v>
      </c>
      <c r="L74" s="6">
        <v>1300</v>
      </c>
      <c r="M74" s="6">
        <v>44.7</v>
      </c>
      <c r="N74" s="6">
        <f>$N73</f>
        <v>1.865</v>
      </c>
      <c r="O74" s="6">
        <f>M74*N74</f>
        <v>83.365500000000011</v>
      </c>
      <c r="P74" s="10">
        <f t="shared" si="22"/>
        <v>7702.2173592069157</v>
      </c>
      <c r="Q74" s="9">
        <f>(21.37+(C74/(E74*F74))*((0.0037*G74)+(0.0000601*P74)-(0.00362*O74)))</f>
        <v>32.599013881987389</v>
      </c>
      <c r="R74" s="11">
        <f t="shared" si="23"/>
        <v>4.6517662289439751E-2</v>
      </c>
    </row>
    <row r="75" spans="1:18" ht="16" customHeight="1">
      <c r="D75" s="19"/>
      <c r="F75" s="19"/>
      <c r="P75" s="41" t="s">
        <v>59</v>
      </c>
      <c r="Q75" s="42">
        <f>AVERAGE(Q70:Q74)</f>
        <v>28.911976388749174</v>
      </c>
      <c r="R75" s="43">
        <f>AVERAGE(R70:R74)</f>
        <v>4.1256387651505778E-2</v>
      </c>
    </row>
    <row r="77" spans="1:18" ht="16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8" ht="41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131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6" customHeight="1">
      <c r="A79" s="6" t="s">
        <v>44</v>
      </c>
      <c r="B79" s="7">
        <v>9.1476887347369296</v>
      </c>
      <c r="C79" s="7">
        <v>294.35539759036146</v>
      </c>
      <c r="D79" s="8">
        <v>29.571161147437262</v>
      </c>
      <c r="E79" s="8">
        <v>8.9267676767676765</v>
      </c>
      <c r="F79" s="6">
        <v>0.9</v>
      </c>
      <c r="G79" s="9">
        <f>'Summary N2O from residue'!H17*1000</f>
        <v>85.676888888888868</v>
      </c>
      <c r="H79" s="9">
        <f>D79*100/(3000*L79/1000)</f>
        <v>0.78856429726499366</v>
      </c>
      <c r="I79" s="6">
        <v>11</v>
      </c>
      <c r="J79" s="6">
        <v>0.85</v>
      </c>
      <c r="K79" s="6">
        <v>5000</v>
      </c>
      <c r="L79" s="6">
        <v>1250</v>
      </c>
      <c r="M79" s="6">
        <v>44.7</v>
      </c>
      <c r="N79" s="6">
        <f>N70</f>
        <v>1.865</v>
      </c>
      <c r="O79" s="6">
        <f>M79*N79</f>
        <v>83.365500000000011</v>
      </c>
      <c r="P79" s="10">
        <f>((H79/100)*K79*L79)/I79*J79</f>
        <v>3808.4071174729802</v>
      </c>
      <c r="Q79" s="9">
        <f>(21.37+(C79/(E79*F79))*((0.0037*G79)+(0.0000601*P79)-(0.00362*O79)))</f>
        <v>30.313651477420397</v>
      </c>
      <c r="R79" s="11">
        <f>(44/28)*0.0075*(14/62)*Q79/N79</f>
        <v>4.3256529393534242E-2</v>
      </c>
    </row>
    <row r="80" spans="1:18" ht="16" customHeight="1">
      <c r="A80" s="6" t="s">
        <v>43</v>
      </c>
      <c r="B80" s="7">
        <v>10.109387796887795</v>
      </c>
      <c r="C80" s="7">
        <v>190.99083783783794</v>
      </c>
      <c r="D80" s="8">
        <v>24.396104580928402</v>
      </c>
      <c r="E80" s="8">
        <v>9.1900826446280988</v>
      </c>
      <c r="F80" s="6">
        <v>0.9</v>
      </c>
      <c r="G80" s="9">
        <f>$G79</f>
        <v>85.676888888888868</v>
      </c>
      <c r="H80" s="9">
        <f t="shared" ref="H80:H83" si="24">D80*100/(3000*L80/1000)</f>
        <v>0.62076601987095159</v>
      </c>
      <c r="I80" s="6">
        <v>11</v>
      </c>
      <c r="J80" s="6">
        <v>0.85</v>
      </c>
      <c r="K80" s="6">
        <v>5000</v>
      </c>
      <c r="L80" s="6">
        <v>1310</v>
      </c>
      <c r="M80" s="6">
        <v>44.7</v>
      </c>
      <c r="N80" s="6">
        <f>$N79</f>
        <v>1.865</v>
      </c>
      <c r="O80" s="6">
        <f>M80*N80</f>
        <v>83.365500000000011</v>
      </c>
      <c r="P80" s="10">
        <f t="shared" ref="P80:P83" si="25">((H80/100)*K80*L80)/I80*J80</f>
        <v>3141.9225596650213</v>
      </c>
      <c r="Q80" s="9">
        <f>(21.37+(C80/(E80*F80))*((0.0037*G80)+(0.0000601*P80)-(0.00362*O80)))</f>
        <v>26.081825245850112</v>
      </c>
      <c r="R80" s="11">
        <f t="shared" ref="R80:R83" si="26">(44/28)*0.0075*(14/62)*Q80/N80</f>
        <v>3.721786011904582E-2</v>
      </c>
    </row>
    <row r="81" spans="1:18" ht="16" customHeight="1">
      <c r="A81" s="6" t="s">
        <v>42</v>
      </c>
      <c r="B81" s="7">
        <v>9.3955975416818784</v>
      </c>
      <c r="C81" s="7">
        <v>261.7301686746988</v>
      </c>
      <c r="D81" s="8">
        <v>49.924037527653432</v>
      </c>
      <c r="E81" s="8">
        <v>12.875</v>
      </c>
      <c r="F81" s="6">
        <v>0.9</v>
      </c>
      <c r="G81" s="9">
        <f>$G80</f>
        <v>85.676888888888868</v>
      </c>
      <c r="H81" s="9">
        <f t="shared" si="24"/>
        <v>1.3420440195605763</v>
      </c>
      <c r="I81" s="6">
        <v>11</v>
      </c>
      <c r="J81" s="6">
        <v>0.85</v>
      </c>
      <c r="K81" s="6">
        <v>5000</v>
      </c>
      <c r="L81" s="6">
        <v>1240</v>
      </c>
      <c r="M81" s="6">
        <v>44.7</v>
      </c>
      <c r="N81" s="6">
        <f>$N80</f>
        <v>1.865</v>
      </c>
      <c r="O81" s="6">
        <f>M81*N81</f>
        <v>83.365500000000011</v>
      </c>
      <c r="P81" s="10">
        <f t="shared" si="25"/>
        <v>6429.6108937129429</v>
      </c>
      <c r="Q81" s="9">
        <f>(21.37+(C81/(E81*F81))*((0.0037*G81)+(0.0000601*P81)-(0.00362*O81)))</f>
        <v>30.441979719686987</v>
      </c>
      <c r="R81" s="11">
        <f t="shared" si="26"/>
        <v>4.3439649344878942E-2</v>
      </c>
    </row>
    <row r="82" spans="1:18" ht="16" customHeight="1">
      <c r="A82" s="6" t="s">
        <v>45</v>
      </c>
      <c r="B82" s="7">
        <v>9.8878544480954176</v>
      </c>
      <c r="C82" s="7">
        <v>245.92402409638549</v>
      </c>
      <c r="D82" s="8">
        <v>38.642317191826933</v>
      </c>
      <c r="E82" s="8">
        <v>11.013824884792626</v>
      </c>
      <c r="F82" s="6">
        <v>0.9</v>
      </c>
      <c r="G82" s="9">
        <f>$G81</f>
        <v>85.676888888888868</v>
      </c>
      <c r="H82" s="9">
        <f t="shared" si="24"/>
        <v>1.0304617917820516</v>
      </c>
      <c r="I82" s="6">
        <v>11</v>
      </c>
      <c r="J82" s="6">
        <v>0.85</v>
      </c>
      <c r="K82" s="6">
        <v>5000</v>
      </c>
      <c r="L82" s="6">
        <v>1250</v>
      </c>
      <c r="M82" s="6">
        <v>44.7</v>
      </c>
      <c r="N82" s="6">
        <f>$N81</f>
        <v>1.865</v>
      </c>
      <c r="O82" s="6">
        <f>M82*N82</f>
        <v>83.365500000000011</v>
      </c>
      <c r="P82" s="10">
        <f t="shared" si="25"/>
        <v>4976.6620625837722</v>
      </c>
      <c r="Q82" s="9">
        <f>(21.37+(C82/(E82*F82))*((0.0037*G82)+(0.0000601*P82)-(0.00362*O82)))</f>
        <v>29.168132225555748</v>
      </c>
      <c r="R82" s="11">
        <f t="shared" si="26"/>
        <v>4.1621913147251555E-2</v>
      </c>
    </row>
    <row r="83" spans="1:18" ht="16" customHeight="1">
      <c r="A83" s="6" t="s">
        <v>56</v>
      </c>
      <c r="B83" s="7">
        <v>9.8064355063351041</v>
      </c>
      <c r="C83" s="7">
        <v>354.70334939759039</v>
      </c>
      <c r="D83" s="8">
        <v>59.805452436194862</v>
      </c>
      <c r="E83" s="8">
        <v>15.456</v>
      </c>
      <c r="F83" s="6">
        <v>0.9</v>
      </c>
      <c r="G83" s="9">
        <f>$G82</f>
        <v>85.676888888888868</v>
      </c>
      <c r="H83" s="9">
        <f t="shared" si="24"/>
        <v>1.5334731393896119</v>
      </c>
      <c r="I83" s="6">
        <v>11</v>
      </c>
      <c r="J83" s="6">
        <v>0.85</v>
      </c>
      <c r="K83" s="6">
        <v>5000</v>
      </c>
      <c r="L83" s="6">
        <v>1300</v>
      </c>
      <c r="M83" s="6">
        <v>44.7</v>
      </c>
      <c r="N83" s="6">
        <f>$N82</f>
        <v>1.865</v>
      </c>
      <c r="O83" s="6">
        <f>M83*N83</f>
        <v>83.365500000000011</v>
      </c>
      <c r="P83" s="10">
        <f t="shared" si="25"/>
        <v>7702.2173592069157</v>
      </c>
      <c r="Q83" s="9">
        <f>(21.37+(C83/(E83*F83))*((0.0037*G83)+(0.0000601*P83)-(0.00362*O83)))</f>
        <v>33.561771049702806</v>
      </c>
      <c r="R83" s="11">
        <f t="shared" si="26"/>
        <v>4.789148337975406E-2</v>
      </c>
    </row>
    <row r="84" spans="1:18" ht="16" customHeight="1">
      <c r="D84" s="19"/>
      <c r="F84" s="19"/>
      <c r="P84" s="41" t="s">
        <v>59</v>
      </c>
      <c r="Q84" s="42">
        <f>AVERAGE(Q79:Q83)</f>
        <v>29.913471943643209</v>
      </c>
      <c r="R84" s="43">
        <f>AVERAGE(R79:R83)</f>
        <v>4.2685487076892924E-2</v>
      </c>
    </row>
    <row r="86" spans="1:18" ht="16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8" ht="41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131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6" customHeight="1">
      <c r="A88" s="6" t="s">
        <v>44</v>
      </c>
      <c r="B88" s="7">
        <v>9.1476887347369296</v>
      </c>
      <c r="C88" s="7">
        <v>294.35539759036146</v>
      </c>
      <c r="D88" s="8">
        <v>29.571161147437262</v>
      </c>
      <c r="E88" s="8">
        <v>8.9267676767676765</v>
      </c>
      <c r="F88" s="6">
        <v>0.9</v>
      </c>
      <c r="G88" s="9">
        <f>'Summary N2O from residue'!H18*1000</f>
        <v>95.881333333333316</v>
      </c>
      <c r="H88" s="9">
        <f>D88*100/(3000*L88/1000)</f>
        <v>0.78856429726499366</v>
      </c>
      <c r="I88" s="6">
        <v>11</v>
      </c>
      <c r="J88" s="6">
        <v>0.85</v>
      </c>
      <c r="K88" s="6">
        <v>5000</v>
      </c>
      <c r="L88" s="6">
        <v>1250</v>
      </c>
      <c r="M88" s="6">
        <v>44.7</v>
      </c>
      <c r="N88" s="6">
        <f>N79</f>
        <v>1.865</v>
      </c>
      <c r="O88" s="6">
        <f>M88*N88</f>
        <v>83.365500000000011</v>
      </c>
      <c r="P88" s="10">
        <f>((H88/100)*K88*L88)/I88*J88</f>
        <v>3808.4071174729802</v>
      </c>
      <c r="Q88" s="9">
        <f>(21.37+(C88/(E88*F88))*((0.0037*G88)+(0.0000601*P88)-(0.00362*O88)))</f>
        <v>31.696983249714272</v>
      </c>
      <c r="R88" s="11">
        <f>(44/28)*0.0075*(14/62)*Q88/N88</f>
        <v>4.5230495859230765E-2</v>
      </c>
    </row>
    <row r="89" spans="1:18" ht="16" customHeight="1">
      <c r="A89" s="6" t="s">
        <v>43</v>
      </c>
      <c r="B89" s="7">
        <v>10.109387796887795</v>
      </c>
      <c r="C89" s="7">
        <v>190.99083783783794</v>
      </c>
      <c r="D89" s="8">
        <v>24.396104580928402</v>
      </c>
      <c r="E89" s="8">
        <v>9.1900826446280988</v>
      </c>
      <c r="F89" s="6">
        <v>0.9</v>
      </c>
      <c r="G89" s="9">
        <f>$G88</f>
        <v>95.881333333333316</v>
      </c>
      <c r="H89" s="9">
        <f t="shared" ref="H89:H92" si="27">D89*100/(3000*L89/1000)</f>
        <v>0.62076601987095159</v>
      </c>
      <c r="I89" s="6">
        <v>11</v>
      </c>
      <c r="J89" s="6">
        <v>0.85</v>
      </c>
      <c r="K89" s="6">
        <v>5000</v>
      </c>
      <c r="L89" s="6">
        <v>1310</v>
      </c>
      <c r="M89" s="6">
        <v>44.7</v>
      </c>
      <c r="N89" s="6">
        <f>$N88</f>
        <v>1.865</v>
      </c>
      <c r="O89" s="6">
        <f>M89*N89</f>
        <v>83.365500000000011</v>
      </c>
      <c r="P89" s="10">
        <f t="shared" ref="P89:P92" si="28">((H89/100)*K89*L89)/I89*J89</f>
        <v>3141.9225596650213</v>
      </c>
      <c r="Q89" s="9">
        <f>(21.37+(C89/(E89*F89))*((0.0037*G89)+(0.0000601*P89)-(0.00362*O89)))</f>
        <v>26.953675095914949</v>
      </c>
      <c r="R89" s="11">
        <f t="shared" ref="R89:R92" si="29">(44/28)*0.0075*(14/62)*Q89/N89</f>
        <v>3.8461959619700475E-2</v>
      </c>
    </row>
    <row r="90" spans="1:18" ht="16" customHeight="1">
      <c r="A90" s="6" t="s">
        <v>42</v>
      </c>
      <c r="B90" s="7">
        <v>9.3955975416818784</v>
      </c>
      <c r="C90" s="7">
        <v>261.7301686746988</v>
      </c>
      <c r="D90" s="8">
        <v>49.924037527653432</v>
      </c>
      <c r="E90" s="8">
        <v>12.875</v>
      </c>
      <c r="F90" s="6">
        <v>0.9</v>
      </c>
      <c r="G90" s="9">
        <f>$G89</f>
        <v>95.881333333333316</v>
      </c>
      <c r="H90" s="9">
        <f t="shared" si="27"/>
        <v>1.3420440195605763</v>
      </c>
      <c r="I90" s="6">
        <v>11</v>
      </c>
      <c r="J90" s="6">
        <v>0.85</v>
      </c>
      <c r="K90" s="6">
        <v>5000</v>
      </c>
      <c r="L90" s="6">
        <v>1240</v>
      </c>
      <c r="M90" s="6">
        <v>44.7</v>
      </c>
      <c r="N90" s="6">
        <f>$N89</f>
        <v>1.865</v>
      </c>
      <c r="O90" s="6">
        <f>M90*N90</f>
        <v>83.365500000000011</v>
      </c>
      <c r="P90" s="10">
        <f t="shared" si="28"/>
        <v>6429.6108937129429</v>
      </c>
      <c r="Q90" s="9">
        <f>(21.37+(C90/(E90*F90))*((0.0037*G90)+(0.0000601*P90)-(0.00362*O90)))</f>
        <v>31.294795303117525</v>
      </c>
      <c r="R90" s="11">
        <f t="shared" si="29"/>
        <v>4.4656587607146858E-2</v>
      </c>
    </row>
    <row r="91" spans="1:18" ht="16" customHeight="1">
      <c r="A91" s="6" t="s">
        <v>45</v>
      </c>
      <c r="B91" s="7">
        <v>9.8878544480954176</v>
      </c>
      <c r="C91" s="7">
        <v>245.92402409638549</v>
      </c>
      <c r="D91" s="8">
        <v>38.642317191826933</v>
      </c>
      <c r="E91" s="8">
        <v>11.013824884792626</v>
      </c>
      <c r="F91" s="6">
        <v>0.9</v>
      </c>
      <c r="G91" s="9">
        <f>$G90</f>
        <v>95.881333333333316</v>
      </c>
      <c r="H91" s="9">
        <f t="shared" si="27"/>
        <v>1.0304617917820516</v>
      </c>
      <c r="I91" s="6">
        <v>11</v>
      </c>
      <c r="J91" s="6">
        <v>0.85</v>
      </c>
      <c r="K91" s="6">
        <v>5000</v>
      </c>
      <c r="L91" s="6">
        <v>1250</v>
      </c>
      <c r="M91" s="6">
        <v>44.7</v>
      </c>
      <c r="N91" s="6">
        <f>$N90</f>
        <v>1.865</v>
      </c>
      <c r="O91" s="6">
        <f>M91*N91</f>
        <v>83.365500000000011</v>
      </c>
      <c r="P91" s="10">
        <f t="shared" si="28"/>
        <v>4976.6620625837722</v>
      </c>
      <c r="Q91" s="9">
        <f>(21.37+(C91/(E91*F91))*((0.0037*G91)+(0.0000601*P91)-(0.00362*O91)))</f>
        <v>30.104855626521264</v>
      </c>
      <c r="R91" s="11">
        <f t="shared" si="29"/>
        <v>4.2958584955253898E-2</v>
      </c>
    </row>
    <row r="92" spans="1:18" ht="16" customHeight="1">
      <c r="A92" s="6" t="s">
        <v>56</v>
      </c>
      <c r="B92" s="7">
        <v>9.8064355063351041</v>
      </c>
      <c r="C92" s="7">
        <v>354.70334939759039</v>
      </c>
      <c r="D92" s="8">
        <v>59.805452436194862</v>
      </c>
      <c r="E92" s="8">
        <v>15.456</v>
      </c>
      <c r="F92" s="6">
        <v>0.9</v>
      </c>
      <c r="G92" s="9">
        <f>$G91</f>
        <v>95.881333333333316</v>
      </c>
      <c r="H92" s="9">
        <f t="shared" si="27"/>
        <v>1.5334731393896119</v>
      </c>
      <c r="I92" s="6">
        <v>11</v>
      </c>
      <c r="J92" s="6">
        <v>0.85</v>
      </c>
      <c r="K92" s="6">
        <v>5000</v>
      </c>
      <c r="L92" s="6">
        <v>1300</v>
      </c>
      <c r="M92" s="6">
        <v>44.7</v>
      </c>
      <c r="N92" s="6">
        <f>$N91</f>
        <v>1.865</v>
      </c>
      <c r="O92" s="6">
        <f>M92*N92</f>
        <v>83.365500000000011</v>
      </c>
      <c r="P92" s="10">
        <f t="shared" si="28"/>
        <v>7702.2173592069157</v>
      </c>
      <c r="Q92" s="9">
        <f>(21.37+(C92/(E92*F92))*((0.0037*G92)+(0.0000601*P92)-(0.00362*O92)))</f>
        <v>34.524528217418222</v>
      </c>
      <c r="R92" s="11">
        <f t="shared" si="29"/>
        <v>4.9265304470068369E-2</v>
      </c>
    </row>
    <row r="93" spans="1:18" ht="16" customHeight="1">
      <c r="D93" s="19"/>
      <c r="F93" s="19"/>
      <c r="P93" s="41" t="s">
        <v>59</v>
      </c>
      <c r="Q93" s="42">
        <f>AVERAGE(Q88:Q92)</f>
        <v>30.914967498537248</v>
      </c>
      <c r="R93" s="43">
        <f>AVERAGE(R88:R92)</f>
        <v>4.4114586502280076E-2</v>
      </c>
    </row>
    <row r="96" spans="1:18" ht="16" customHeight="1">
      <c r="B96" s="30"/>
      <c r="C96" s="30"/>
      <c r="D96" s="23"/>
      <c r="E96" s="23"/>
      <c r="G96" s="24"/>
      <c r="H96" s="24"/>
      <c r="P96" s="25"/>
      <c r="Q96" s="24"/>
      <c r="R96" s="26"/>
    </row>
    <row r="97" spans="2:18" ht="16" customHeight="1">
      <c r="B97" s="30"/>
      <c r="C97" s="30"/>
      <c r="D97" s="23"/>
      <c r="E97" s="23"/>
      <c r="G97" s="24"/>
      <c r="H97" s="24"/>
      <c r="P97" s="25"/>
      <c r="Q97" s="24"/>
      <c r="R97" s="26"/>
    </row>
    <row r="98" spans="2:18" ht="16" customHeight="1">
      <c r="B98" s="30"/>
      <c r="C98" s="30"/>
      <c r="D98" s="23"/>
      <c r="E98" s="23"/>
      <c r="G98" s="24"/>
      <c r="H98" s="24"/>
      <c r="P98" s="25"/>
      <c r="Q98" s="24"/>
      <c r="R98" s="26"/>
    </row>
    <row r="99" spans="2:18" ht="16" customHeight="1">
      <c r="B99" s="30"/>
      <c r="C99" s="30"/>
      <c r="D99" s="23"/>
      <c r="E99" s="23"/>
      <c r="G99" s="24"/>
      <c r="H99" s="24"/>
      <c r="P99" s="25"/>
      <c r="Q99" s="24"/>
      <c r="R99" s="26"/>
    </row>
    <row r="100" spans="2:18" ht="16" customHeight="1">
      <c r="B100" s="30"/>
      <c r="C100" s="30"/>
      <c r="D100" s="23"/>
      <c r="E100" s="23"/>
      <c r="G100" s="24"/>
      <c r="H100" s="24"/>
      <c r="P100" s="25"/>
      <c r="Q100" s="24"/>
      <c r="R100" s="26"/>
    </row>
    <row r="101" spans="2:18" ht="16" customHeight="1">
      <c r="D101" s="19"/>
      <c r="E101" s="19"/>
      <c r="F101" s="23"/>
      <c r="R101" s="20"/>
    </row>
  </sheetData>
  <sortState ref="J14:K42">
    <sortCondition descending="1" ref="K12"/>
  </sortState>
  <mergeCells count="2">
    <mergeCell ref="A2:C2"/>
    <mergeCell ref="A12:C12"/>
  </mergeCells>
  <pageMargins left="0.7" right="0.7" top="0.75" bottom="0.75" header="0.3" footer="0.3"/>
  <pageSetup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49"/>
  <sheetViews>
    <sheetView topLeftCell="A4" zoomScale="98" zoomScaleNormal="98" workbookViewId="0">
      <selection activeCell="D3" sqref="D3"/>
    </sheetView>
  </sheetViews>
  <sheetFormatPr defaultColWidth="8.6328125" defaultRowHeight="16" customHeight="1"/>
  <cols>
    <col min="1" max="1" width="8.6328125" style="113"/>
    <col min="2" max="2" width="12.08984375" style="113" customWidth="1"/>
    <col min="3" max="3" width="11.6328125" style="113" customWidth="1"/>
    <col min="4" max="4" width="10.90625" style="113" customWidth="1"/>
    <col min="5" max="6" width="8.6328125" style="113"/>
    <col min="7" max="7" width="12.90625" style="113" customWidth="1"/>
    <col min="8" max="8" width="15.08984375" style="113" customWidth="1"/>
    <col min="9" max="9" width="17.08984375" style="113" customWidth="1"/>
    <col min="10" max="10" width="17.54296875" style="113" customWidth="1"/>
    <col min="11" max="11" width="18.36328125" style="113" customWidth="1"/>
    <col min="12" max="12" width="14.54296875" style="113" customWidth="1"/>
    <col min="13" max="13" width="14.453125" style="113" customWidth="1"/>
    <col min="14" max="16384" width="8.6328125" style="113"/>
  </cols>
  <sheetData>
    <row r="1" spans="1:13" ht="16" customHeight="1">
      <c r="A1" s="136" t="s">
        <v>141</v>
      </c>
      <c r="B1" s="137"/>
      <c r="C1" s="137"/>
      <c r="D1" s="137"/>
      <c r="E1" s="137"/>
      <c r="F1" s="138"/>
      <c r="G1" s="138"/>
    </row>
    <row r="2" spans="1:13" ht="16" customHeight="1">
      <c r="A2" s="129"/>
      <c r="B2" s="35"/>
      <c r="C2" s="35"/>
      <c r="D2" s="35"/>
      <c r="E2" s="35"/>
    </row>
    <row r="3" spans="1:13" ht="16" customHeight="1">
      <c r="A3" s="129" t="s">
        <v>145</v>
      </c>
      <c r="B3" s="35"/>
      <c r="C3" s="35"/>
      <c r="D3" s="35"/>
      <c r="E3" s="35"/>
    </row>
    <row r="4" spans="1:13" ht="16" customHeight="1">
      <c r="A4" s="129" t="s">
        <v>146</v>
      </c>
      <c r="B4" s="141" t="s">
        <v>157</v>
      </c>
      <c r="C4" s="35"/>
      <c r="D4" s="35"/>
      <c r="E4" s="35"/>
    </row>
    <row r="5" spans="1:13" ht="16" customHeight="1">
      <c r="A5" s="129" t="s">
        <v>147</v>
      </c>
      <c r="B5" s="141" t="s">
        <v>158</v>
      </c>
      <c r="C5" s="35"/>
      <c r="D5" s="35"/>
      <c r="E5" s="35"/>
    </row>
    <row r="6" spans="1:13" ht="16" customHeight="1">
      <c r="A6" s="129" t="s">
        <v>148</v>
      </c>
      <c r="B6" s="141" t="s">
        <v>156</v>
      </c>
      <c r="C6" s="35"/>
      <c r="D6" s="35"/>
      <c r="E6" s="35"/>
    </row>
    <row r="7" spans="1:13" s="1" customFormat="1" ht="16" customHeight="1">
      <c r="A7" s="127"/>
      <c r="B7" s="35"/>
      <c r="C7" s="35"/>
      <c r="D7" s="35"/>
      <c r="E7" s="35"/>
    </row>
    <row r="8" spans="1:13" s="128" customFormat="1" ht="16" customHeight="1">
      <c r="A8" s="139" t="s">
        <v>11</v>
      </c>
      <c r="B8" s="132" t="s">
        <v>93</v>
      </c>
      <c r="C8" s="132"/>
      <c r="D8" s="132"/>
      <c r="E8" s="130" t="s">
        <v>95</v>
      </c>
      <c r="F8" s="130"/>
      <c r="G8" s="130"/>
      <c r="H8" s="140" t="s">
        <v>144</v>
      </c>
      <c r="I8" s="140" t="s">
        <v>140</v>
      </c>
      <c r="J8" s="140" t="s">
        <v>139</v>
      </c>
      <c r="K8" s="140" t="s">
        <v>138</v>
      </c>
      <c r="L8" s="140" t="s">
        <v>86</v>
      </c>
      <c r="M8" s="114"/>
    </row>
    <row r="9" spans="1:13" ht="30" customHeight="1">
      <c r="A9" s="139" t="s">
        <v>97</v>
      </c>
      <c r="B9" s="131" t="s">
        <v>94</v>
      </c>
      <c r="C9" s="131"/>
      <c r="D9" s="133" t="s">
        <v>143</v>
      </c>
      <c r="E9" s="134" t="s">
        <v>96</v>
      </c>
      <c r="F9" s="134"/>
      <c r="G9" s="135" t="s">
        <v>142</v>
      </c>
      <c r="H9" s="140"/>
      <c r="I9" s="140"/>
      <c r="J9" s="140"/>
      <c r="K9" s="140"/>
      <c r="L9" s="140"/>
      <c r="M9" s="114"/>
    </row>
    <row r="10" spans="1:13" ht="16" customHeight="1">
      <c r="A10" s="6">
        <v>1</v>
      </c>
      <c r="B10" s="115" t="s">
        <v>118</v>
      </c>
      <c r="C10" s="116">
        <f>'Define amount of N in residue'!$B$9</f>
        <v>2.2049999999999996</v>
      </c>
      <c r="D10" s="116">
        <f>C10*2*'Define amount of N in residue'!$B$6</f>
        <v>6.5267999999999993E-2</v>
      </c>
      <c r="E10" s="117" t="s">
        <v>118</v>
      </c>
      <c r="F10" s="9">
        <f>'Define amount of N in residue'!$D$9</f>
        <v>2.3916666666666671</v>
      </c>
      <c r="G10" s="9">
        <f>F10*'Define amount of N in residue'!$D$6</f>
        <v>3.061333333333334E-2</v>
      </c>
      <c r="H10" s="9">
        <f>(D10+G10)*(1/3)</f>
        <v>3.1960444444444444E-2</v>
      </c>
      <c r="I10" s="9">
        <f>(44/28)*H10*1000*0.01/1.865</f>
        <v>0.26929520405123619</v>
      </c>
      <c r="J10" s="9">
        <f>CA!R21</f>
        <v>3.1421726213397776E-2</v>
      </c>
      <c r="K10" s="9">
        <f>I10+J10</f>
        <v>0.30071693026463397</v>
      </c>
      <c r="L10" s="9">
        <f>K10*298*2.2*1.39*0.001*1000/44.06</f>
        <v>6.2196669786490402</v>
      </c>
      <c r="M10" s="118"/>
    </row>
    <row r="11" spans="1:13" ht="16" customHeight="1">
      <c r="A11" s="6">
        <v>2</v>
      </c>
      <c r="B11" s="119"/>
      <c r="C11" s="120"/>
      <c r="D11" s="120"/>
      <c r="E11" s="117" t="s">
        <v>92</v>
      </c>
      <c r="F11" s="9">
        <f>'Define amount of N in residue'!$D$10</f>
        <v>4.7833333333333341</v>
      </c>
      <c r="G11" s="9">
        <f>F11*'Define amount of N in residue'!$D$6</f>
        <v>6.1226666666666679E-2</v>
      </c>
      <c r="H11" s="9">
        <f>(D10+G11)*(1/3)</f>
        <v>4.2164888888888891E-2</v>
      </c>
      <c r="I11" s="9">
        <f t="shared" ref="I11:I18" si="0">(44/28)*H11*1000*0.01/1.865</f>
        <v>0.35527673518022046</v>
      </c>
      <c r="J11" s="9">
        <f>CA!R30</f>
        <v>3.2076979398484536E-2</v>
      </c>
      <c r="K11" s="9">
        <f t="shared" ref="K11:K18" si="1">I11+J11</f>
        <v>0.38735371457870499</v>
      </c>
      <c r="L11" s="9">
        <f t="shared" ref="L11:L18" si="2">K11*298*2.2*1.39*0.001*1000/44.06</f>
        <v>8.0115579309155827</v>
      </c>
      <c r="M11" s="118"/>
    </row>
    <row r="12" spans="1:13" ht="16" customHeight="1">
      <c r="A12" s="6">
        <v>3</v>
      </c>
      <c r="B12" s="121"/>
      <c r="C12" s="122"/>
      <c r="D12" s="122"/>
      <c r="E12" s="117" t="s">
        <v>119</v>
      </c>
      <c r="F12" s="9">
        <f>'Define amount of N in residue'!$D$11</f>
        <v>7.1750000000000007</v>
      </c>
      <c r="G12" s="9">
        <f>F12*'Define amount of N in residue'!$D$6</f>
        <v>9.1840000000000019E-2</v>
      </c>
      <c r="H12" s="9">
        <f>(D10+G12)*(1/3)</f>
        <v>5.2369333333333337E-2</v>
      </c>
      <c r="I12" s="9">
        <f t="shared" si="0"/>
        <v>0.44125826630920467</v>
      </c>
      <c r="J12" s="9">
        <f>CA!R39</f>
        <v>3.2732232583571289E-2</v>
      </c>
      <c r="K12" s="9">
        <f t="shared" si="1"/>
        <v>0.47399049889277595</v>
      </c>
      <c r="L12" s="9">
        <f t="shared" si="2"/>
        <v>9.8034488831821243</v>
      </c>
      <c r="M12" s="118"/>
    </row>
    <row r="13" spans="1:13" ht="16" customHeight="1">
      <c r="A13" s="6">
        <v>4</v>
      </c>
      <c r="B13" s="115" t="s">
        <v>92</v>
      </c>
      <c r="C13" s="116">
        <f>'Define amount of N in residue'!$B$10</f>
        <v>4.4099999999999993</v>
      </c>
      <c r="D13" s="116">
        <f>C13*2*'Define amount of N in residue'!$B$6</f>
        <v>0.13053599999999999</v>
      </c>
      <c r="E13" s="117" t="s">
        <v>118</v>
      </c>
      <c r="F13" s="9">
        <f>'Define amount of N in residue'!$D$9</f>
        <v>2.3916666666666671</v>
      </c>
      <c r="G13" s="9">
        <f>F13*'Define amount of N in residue'!$D$6</f>
        <v>3.061333333333334E-2</v>
      </c>
      <c r="H13" s="9">
        <f>(D13+G13)*(1/3)</f>
        <v>5.3716444444444435E-2</v>
      </c>
      <c r="I13" s="9">
        <f t="shared" si="0"/>
        <v>0.45260887697348823</v>
      </c>
      <c r="J13" s="9">
        <f>CA!R48</f>
        <v>3.2818733994895238E-2</v>
      </c>
      <c r="K13" s="9">
        <f t="shared" si="1"/>
        <v>0.48542761096838349</v>
      </c>
      <c r="L13" s="9">
        <f t="shared" si="2"/>
        <v>10.040000341209995</v>
      </c>
      <c r="M13" s="118"/>
    </row>
    <row r="14" spans="1:13" ht="16" customHeight="1">
      <c r="A14" s="6">
        <v>5</v>
      </c>
      <c r="B14" s="119"/>
      <c r="C14" s="120"/>
      <c r="D14" s="120"/>
      <c r="E14" s="117" t="s">
        <v>92</v>
      </c>
      <c r="F14" s="9">
        <f>'Define amount of N in residue'!$D$10</f>
        <v>4.7833333333333341</v>
      </c>
      <c r="G14" s="9">
        <f>F14*'Define amount of N in residue'!$D$6</f>
        <v>6.1226666666666679E-2</v>
      </c>
      <c r="H14" s="9">
        <f>(D13+G14)*(1/3)</f>
        <v>6.3920888888888888E-2</v>
      </c>
      <c r="I14" s="9">
        <f t="shared" si="0"/>
        <v>0.53859040810247238</v>
      </c>
      <c r="J14" s="9">
        <f>CA!R57</f>
        <v>3.3473987179981998E-2</v>
      </c>
      <c r="K14" s="9">
        <f t="shared" si="1"/>
        <v>0.57206439528245434</v>
      </c>
      <c r="L14" s="9">
        <f t="shared" si="2"/>
        <v>11.831891293476534</v>
      </c>
      <c r="M14" s="118"/>
    </row>
    <row r="15" spans="1:13" ht="16" customHeight="1">
      <c r="A15" s="6">
        <v>6</v>
      </c>
      <c r="B15" s="121"/>
      <c r="C15" s="122"/>
      <c r="D15" s="122"/>
      <c r="E15" s="117" t="s">
        <v>119</v>
      </c>
      <c r="F15" s="9">
        <f>'Define amount of N in residue'!$D$11</f>
        <v>7.1750000000000007</v>
      </c>
      <c r="G15" s="9">
        <f>F15*'Define amount of N in residue'!$D$6</f>
        <v>9.1840000000000019E-2</v>
      </c>
      <c r="H15" s="9">
        <f>(D13+G15)*(1/3)</f>
        <v>7.4125333333333335E-2</v>
      </c>
      <c r="I15" s="9">
        <f t="shared" si="0"/>
        <v>0.62457193923145671</v>
      </c>
      <c r="J15" s="9">
        <f>CA!R66</f>
        <v>3.4129240365068758E-2</v>
      </c>
      <c r="K15" s="9">
        <f t="shared" si="1"/>
        <v>0.65870117959652541</v>
      </c>
      <c r="L15" s="9">
        <f t="shared" si="2"/>
        <v>13.623782245743079</v>
      </c>
      <c r="M15" s="118"/>
    </row>
    <row r="16" spans="1:13" ht="16" customHeight="1">
      <c r="A16" s="6">
        <v>7</v>
      </c>
      <c r="B16" s="115" t="s">
        <v>119</v>
      </c>
      <c r="C16" s="116">
        <f>'Define amount of N in residue'!$B$11</f>
        <v>6.6149999999999984</v>
      </c>
      <c r="D16" s="116">
        <f>C16*2*'Define amount of N in residue'!$B$6</f>
        <v>0.19580399999999995</v>
      </c>
      <c r="E16" s="117" t="s">
        <v>118</v>
      </c>
      <c r="F16" s="9">
        <f>'Define amount of N in residue'!$D$9</f>
        <v>2.3916666666666671</v>
      </c>
      <c r="G16" s="9">
        <f>F16*'Define amount of N in residue'!$D$6</f>
        <v>3.061333333333334E-2</v>
      </c>
      <c r="H16" s="9">
        <f>(D16+G16)*(1/3)</f>
        <v>7.5472444444444425E-2</v>
      </c>
      <c r="I16" s="9">
        <f t="shared" si="0"/>
        <v>0.63592254989574004</v>
      </c>
      <c r="J16" s="9">
        <f>CA!R75</f>
        <v>3.4215741776392708E-2</v>
      </c>
      <c r="K16" s="9">
        <f t="shared" si="1"/>
        <v>0.67013829167213279</v>
      </c>
      <c r="L16" s="9">
        <f t="shared" si="2"/>
        <v>13.860333703770944</v>
      </c>
      <c r="M16" s="118"/>
    </row>
    <row r="17" spans="1:13" ht="16" customHeight="1">
      <c r="A17" s="6">
        <v>8</v>
      </c>
      <c r="B17" s="119"/>
      <c r="C17" s="120"/>
      <c r="D17" s="120"/>
      <c r="E17" s="117" t="s">
        <v>92</v>
      </c>
      <c r="F17" s="9">
        <f>'Define amount of N in residue'!$D$10</f>
        <v>4.7833333333333341</v>
      </c>
      <c r="G17" s="9">
        <f>F17*'Define amount of N in residue'!$D$6</f>
        <v>6.1226666666666679E-2</v>
      </c>
      <c r="H17" s="9">
        <f>(D16+G17)*(1/3)</f>
        <v>8.5676888888888872E-2</v>
      </c>
      <c r="I17" s="9">
        <f t="shared" si="0"/>
        <v>0.72190408102472436</v>
      </c>
      <c r="J17" s="9">
        <f>CA!R84</f>
        <v>3.4870994961479468E-2</v>
      </c>
      <c r="K17" s="9">
        <f t="shared" si="1"/>
        <v>0.75677507598620386</v>
      </c>
      <c r="L17" s="9">
        <f t="shared" si="2"/>
        <v>15.65222465603749</v>
      </c>
      <c r="M17" s="118"/>
    </row>
    <row r="18" spans="1:13" ht="16" customHeight="1">
      <c r="A18" s="6">
        <v>9</v>
      </c>
      <c r="B18" s="121"/>
      <c r="C18" s="122"/>
      <c r="D18" s="122"/>
      <c r="E18" s="117" t="s">
        <v>119</v>
      </c>
      <c r="F18" s="9">
        <f>'Define amount of N in residue'!$D$11</f>
        <v>7.1750000000000007</v>
      </c>
      <c r="G18" s="9">
        <f>F18*'Define amount of N in residue'!$D$6</f>
        <v>9.1840000000000019E-2</v>
      </c>
      <c r="H18" s="9">
        <f>(D16+G18)*(1/3)</f>
        <v>9.5881333333333318E-2</v>
      </c>
      <c r="I18" s="9">
        <f t="shared" si="0"/>
        <v>0.80788561215370858</v>
      </c>
      <c r="J18" s="9">
        <f>CA!R93</f>
        <v>3.5526248146566228E-2</v>
      </c>
      <c r="K18" s="9">
        <f t="shared" si="1"/>
        <v>0.84341186030027482</v>
      </c>
      <c r="L18" s="9">
        <f t="shared" si="2"/>
        <v>17.444115608304031</v>
      </c>
      <c r="M18" s="118"/>
    </row>
    <row r="21" spans="1:13" s="128" customFormat="1" ht="16" customHeight="1">
      <c r="A21" s="139" t="s">
        <v>5</v>
      </c>
      <c r="B21" s="132" t="s">
        <v>93</v>
      </c>
      <c r="C21" s="132"/>
      <c r="D21" s="132"/>
      <c r="E21" s="130" t="s">
        <v>95</v>
      </c>
      <c r="F21" s="130"/>
      <c r="G21" s="130"/>
      <c r="H21" s="140" t="s">
        <v>144</v>
      </c>
      <c r="I21" s="140" t="s">
        <v>140</v>
      </c>
      <c r="J21" s="140" t="s">
        <v>139</v>
      </c>
      <c r="K21" s="140" t="s">
        <v>138</v>
      </c>
      <c r="L21" s="140" t="s">
        <v>86</v>
      </c>
      <c r="M21" s="114"/>
    </row>
    <row r="22" spans="1:13" ht="30" customHeight="1">
      <c r="A22" s="139" t="s">
        <v>97</v>
      </c>
      <c r="B22" s="131" t="s">
        <v>94</v>
      </c>
      <c r="C22" s="131"/>
      <c r="D22" s="133" t="s">
        <v>143</v>
      </c>
      <c r="E22" s="134" t="s">
        <v>96</v>
      </c>
      <c r="F22" s="134"/>
      <c r="G22" s="135" t="s">
        <v>142</v>
      </c>
      <c r="H22" s="140"/>
      <c r="I22" s="140"/>
      <c r="J22" s="140"/>
      <c r="K22" s="140"/>
      <c r="L22" s="140"/>
      <c r="M22" s="114"/>
    </row>
    <row r="23" spans="1:13" ht="16" customHeight="1">
      <c r="A23" s="6">
        <v>1</v>
      </c>
      <c r="B23" s="115" t="s">
        <v>118</v>
      </c>
      <c r="C23" s="116">
        <f>'Define amount of N in residue'!$B$9</f>
        <v>2.2049999999999996</v>
      </c>
      <c r="D23" s="116">
        <f>C23*2*'Define amount of N in residue'!$B$6</f>
        <v>6.5267999999999993E-2</v>
      </c>
      <c r="E23" s="117" t="s">
        <v>118</v>
      </c>
      <c r="F23" s="9">
        <f>'Define amount of N in residue'!$D$9</f>
        <v>2.3916666666666671</v>
      </c>
      <c r="G23" s="9">
        <f>F23*'Define amount of N in residue'!$D$6</f>
        <v>3.061333333333334E-2</v>
      </c>
      <c r="H23" s="9">
        <f>($D$23+G23)*(1/3)</f>
        <v>3.1960444444444444E-2</v>
      </c>
      <c r="I23" s="9">
        <f>(44/28)*H23*1000*0.01/1.865</f>
        <v>0.26929520405123619</v>
      </c>
      <c r="J23" s="9">
        <f>KS!R21</f>
        <v>3.3222115934605674E-2</v>
      </c>
      <c r="K23" s="9">
        <f>I23+J23</f>
        <v>0.30251731998584186</v>
      </c>
      <c r="L23" s="9">
        <f>K23*298*2.2*1.39*0.001*1000/44.06</f>
        <v>6.2569040723099842</v>
      </c>
      <c r="M23" s="123"/>
    </row>
    <row r="24" spans="1:13" ht="16" customHeight="1">
      <c r="A24" s="6">
        <v>2</v>
      </c>
      <c r="B24" s="119"/>
      <c r="C24" s="120"/>
      <c r="D24" s="120"/>
      <c r="E24" s="117" t="s">
        <v>92</v>
      </c>
      <c r="F24" s="9">
        <f>'Define amount of N in residue'!$D$10</f>
        <v>4.7833333333333341</v>
      </c>
      <c r="G24" s="9">
        <f>F24*'Define amount of N in residue'!$D$6</f>
        <v>6.1226666666666679E-2</v>
      </c>
      <c r="H24" s="9">
        <f t="shared" ref="H24:H25" si="3">($D$23+G24)*(1/3)</f>
        <v>4.2164888888888891E-2</v>
      </c>
      <c r="I24" s="9">
        <f t="shared" ref="I24:I31" si="4">(44/28)*H24*1000*0.01/1.865</f>
        <v>0.35527673518022046</v>
      </c>
      <c r="J24" s="9">
        <f>KS!R30</f>
        <v>3.4539413198605352E-2</v>
      </c>
      <c r="K24" s="9">
        <f t="shared" ref="K24:K31" si="5">I24+J24</f>
        <v>0.38981614837882583</v>
      </c>
      <c r="L24" s="9">
        <f t="shared" ref="L24:L30" si="6">K24*298*2.2*1.39*0.001*1000/44.06</f>
        <v>8.0624879473275062</v>
      </c>
      <c r="M24" s="123"/>
    </row>
    <row r="25" spans="1:13" ht="16" customHeight="1">
      <c r="A25" s="6">
        <v>3</v>
      </c>
      <c r="B25" s="121"/>
      <c r="C25" s="122"/>
      <c r="D25" s="122"/>
      <c r="E25" s="117" t="s">
        <v>119</v>
      </c>
      <c r="F25" s="9">
        <f>'Define amount of N in residue'!$D$11</f>
        <v>7.1750000000000007</v>
      </c>
      <c r="G25" s="9">
        <f>F25*'Define amount of N in residue'!$D$6</f>
        <v>9.1840000000000019E-2</v>
      </c>
      <c r="H25" s="9">
        <f t="shared" si="3"/>
        <v>5.2369333333333337E-2</v>
      </c>
      <c r="I25" s="9">
        <f t="shared" si="4"/>
        <v>0.44125826630920467</v>
      </c>
      <c r="J25" s="9">
        <f>KS!R39</f>
        <v>3.5856710462605038E-2</v>
      </c>
      <c r="K25" s="9">
        <f t="shared" si="5"/>
        <v>0.4771149767718097</v>
      </c>
      <c r="L25" s="9">
        <f t="shared" si="6"/>
        <v>9.8680718223450246</v>
      </c>
      <c r="M25" s="123"/>
    </row>
    <row r="26" spans="1:13" ht="16" customHeight="1">
      <c r="A26" s="6">
        <v>4</v>
      </c>
      <c r="B26" s="115" t="s">
        <v>92</v>
      </c>
      <c r="C26" s="116">
        <f>'Define amount of N in residue'!$B$10</f>
        <v>4.4099999999999993</v>
      </c>
      <c r="D26" s="116">
        <f>C26*2*'Define amount of N in residue'!$B$6</f>
        <v>0.13053599999999999</v>
      </c>
      <c r="E26" s="117" t="s">
        <v>118</v>
      </c>
      <c r="F26" s="9">
        <f>'Define amount of N in residue'!$D$9</f>
        <v>2.3916666666666671</v>
      </c>
      <c r="G26" s="9">
        <f>F26*'Define amount of N in residue'!$D$6</f>
        <v>3.061333333333334E-2</v>
      </c>
      <c r="H26" s="9">
        <f>($D$26+G26)*(1/3)</f>
        <v>5.3716444444444435E-2</v>
      </c>
      <c r="I26" s="9">
        <f t="shared" si="4"/>
        <v>0.45260887697348823</v>
      </c>
      <c r="J26" s="9">
        <f>KS!R48</f>
        <v>3.6030609766053781E-2</v>
      </c>
      <c r="K26" s="9">
        <f t="shared" si="5"/>
        <v>0.48863948673954199</v>
      </c>
      <c r="L26" s="9">
        <f t="shared" si="6"/>
        <v>10.106430913162887</v>
      </c>
      <c r="M26" s="123"/>
    </row>
    <row r="27" spans="1:13" ht="16" customHeight="1">
      <c r="A27" s="6">
        <v>5</v>
      </c>
      <c r="B27" s="119"/>
      <c r="C27" s="120"/>
      <c r="D27" s="120"/>
      <c r="E27" s="117" t="s">
        <v>92</v>
      </c>
      <c r="F27" s="9">
        <f>'Define amount of N in residue'!$D$10</f>
        <v>4.7833333333333341</v>
      </c>
      <c r="G27" s="9">
        <f>F27*'Define amount of N in residue'!$D$6</f>
        <v>6.1226666666666679E-2</v>
      </c>
      <c r="H27" s="9">
        <f t="shared" ref="H27:H28" si="7">($D$26+G27)*(1/3)</f>
        <v>6.3920888888888888E-2</v>
      </c>
      <c r="I27" s="9">
        <f t="shared" si="4"/>
        <v>0.53859040810247238</v>
      </c>
      <c r="J27" s="9">
        <f>KS!R57</f>
        <v>3.7347907030053459E-2</v>
      </c>
      <c r="K27" s="9">
        <f t="shared" si="5"/>
        <v>0.5759383151325258</v>
      </c>
      <c r="L27" s="9">
        <f t="shared" si="6"/>
        <v>11.912014788180404</v>
      </c>
      <c r="M27" s="123"/>
    </row>
    <row r="28" spans="1:13" ht="16" customHeight="1">
      <c r="A28" s="6">
        <v>6</v>
      </c>
      <c r="B28" s="121"/>
      <c r="C28" s="122"/>
      <c r="D28" s="122"/>
      <c r="E28" s="117" t="s">
        <v>119</v>
      </c>
      <c r="F28" s="9">
        <f>'Define amount of N in residue'!$D$11</f>
        <v>7.1750000000000007</v>
      </c>
      <c r="G28" s="9">
        <f>F28*'Define amount of N in residue'!$D$6</f>
        <v>9.1840000000000019E-2</v>
      </c>
      <c r="H28" s="9">
        <f t="shared" si="7"/>
        <v>7.4125333333333335E-2</v>
      </c>
      <c r="I28" s="9">
        <f t="shared" si="4"/>
        <v>0.62457193923145671</v>
      </c>
      <c r="J28" s="9">
        <f>KS!R66</f>
        <v>3.8665204294053138E-2</v>
      </c>
      <c r="K28" s="9">
        <f t="shared" si="5"/>
        <v>0.66323714352550989</v>
      </c>
      <c r="L28" s="9">
        <f t="shared" si="6"/>
        <v>13.717598663197933</v>
      </c>
      <c r="M28" s="123"/>
    </row>
    <row r="29" spans="1:13" ht="16" customHeight="1">
      <c r="A29" s="6">
        <v>7</v>
      </c>
      <c r="B29" s="115" t="s">
        <v>119</v>
      </c>
      <c r="C29" s="116">
        <f>'Define amount of N in residue'!$B$11</f>
        <v>6.6149999999999984</v>
      </c>
      <c r="D29" s="116">
        <f>C29*2*'Define amount of N in residue'!$B$6</f>
        <v>0.19580399999999995</v>
      </c>
      <c r="E29" s="117" t="s">
        <v>118</v>
      </c>
      <c r="F29" s="9">
        <f>'Define amount of N in residue'!$D$9</f>
        <v>2.3916666666666671</v>
      </c>
      <c r="G29" s="9">
        <f>F29*'Define amount of N in residue'!$D$6</f>
        <v>3.061333333333334E-2</v>
      </c>
      <c r="H29" s="9">
        <f>($D$29+G29)*(1/3)</f>
        <v>7.5472444444444425E-2</v>
      </c>
      <c r="I29" s="9">
        <f t="shared" si="4"/>
        <v>0.63592254989574004</v>
      </c>
      <c r="J29" s="9">
        <f>KS!R75</f>
        <v>3.8839103597501867E-2</v>
      </c>
      <c r="K29" s="9">
        <f t="shared" si="5"/>
        <v>0.67476165349324191</v>
      </c>
      <c r="L29" s="9">
        <f t="shared" si="6"/>
        <v>13.955957754015786</v>
      </c>
      <c r="M29" s="123"/>
    </row>
    <row r="30" spans="1:13" ht="16" customHeight="1">
      <c r="A30" s="6">
        <v>8</v>
      </c>
      <c r="B30" s="119"/>
      <c r="C30" s="120"/>
      <c r="D30" s="120"/>
      <c r="E30" s="117" t="s">
        <v>92</v>
      </c>
      <c r="F30" s="9">
        <f>'Define amount of N in residue'!$D$10</f>
        <v>4.7833333333333341</v>
      </c>
      <c r="G30" s="9">
        <f>F30*'Define amount of N in residue'!$D$6</f>
        <v>6.1226666666666679E-2</v>
      </c>
      <c r="H30" s="9">
        <f t="shared" ref="H30:H31" si="8">($D$29+G30)*(1/3)</f>
        <v>8.5676888888888872E-2</v>
      </c>
      <c r="I30" s="9">
        <f t="shared" si="4"/>
        <v>0.72190408102472436</v>
      </c>
      <c r="J30" s="9">
        <f>KS!R84</f>
        <v>4.0156400861501552E-2</v>
      </c>
      <c r="K30" s="9">
        <f t="shared" si="5"/>
        <v>0.76206048188622588</v>
      </c>
      <c r="L30" s="9">
        <f t="shared" si="6"/>
        <v>15.761541629033308</v>
      </c>
      <c r="M30" s="123"/>
    </row>
    <row r="31" spans="1:13" ht="16" customHeight="1">
      <c r="A31" s="6">
        <v>9</v>
      </c>
      <c r="B31" s="121"/>
      <c r="C31" s="122"/>
      <c r="D31" s="122"/>
      <c r="E31" s="117" t="s">
        <v>119</v>
      </c>
      <c r="F31" s="9">
        <f>'Define amount of N in residue'!$D$11</f>
        <v>7.1750000000000007</v>
      </c>
      <c r="G31" s="9">
        <f>F31*'Define amount of N in residue'!$D$6</f>
        <v>9.1840000000000019E-2</v>
      </c>
      <c r="H31" s="9">
        <f t="shared" si="8"/>
        <v>9.5881333333333318E-2</v>
      </c>
      <c r="I31" s="9">
        <f t="shared" si="4"/>
        <v>0.80788561215370858</v>
      </c>
      <c r="J31" s="9">
        <f>KS!R93</f>
        <v>4.1473698125501238E-2</v>
      </c>
      <c r="K31" s="9">
        <f t="shared" si="5"/>
        <v>0.84935931027920986</v>
      </c>
      <c r="L31" s="9">
        <f>K31*298*2.2*1.39*0.001*1000/44.06</f>
        <v>17.567125504050829</v>
      </c>
      <c r="M31" s="123"/>
    </row>
    <row r="34" spans="1:13" s="128" customFormat="1" ht="16" customHeight="1">
      <c r="A34" s="139" t="s">
        <v>2</v>
      </c>
      <c r="B34" s="132" t="s">
        <v>93</v>
      </c>
      <c r="C34" s="132"/>
      <c r="D34" s="132"/>
      <c r="E34" s="130" t="s">
        <v>95</v>
      </c>
      <c r="F34" s="130"/>
      <c r="G34" s="130"/>
      <c r="H34" s="140" t="s">
        <v>144</v>
      </c>
      <c r="I34" s="140" t="s">
        <v>140</v>
      </c>
      <c r="J34" s="140" t="s">
        <v>139</v>
      </c>
      <c r="K34" s="140" t="s">
        <v>138</v>
      </c>
      <c r="L34" s="140" t="s">
        <v>86</v>
      </c>
      <c r="M34" s="114"/>
    </row>
    <row r="35" spans="1:13" ht="30" customHeight="1">
      <c r="A35" s="139" t="s">
        <v>97</v>
      </c>
      <c r="B35" s="131" t="s">
        <v>94</v>
      </c>
      <c r="C35" s="131"/>
      <c r="D35" s="133" t="s">
        <v>143</v>
      </c>
      <c r="E35" s="134" t="s">
        <v>96</v>
      </c>
      <c r="F35" s="134"/>
      <c r="G35" s="135" t="s">
        <v>142</v>
      </c>
      <c r="H35" s="140"/>
      <c r="I35" s="140"/>
      <c r="J35" s="140"/>
      <c r="K35" s="140"/>
      <c r="L35" s="140"/>
      <c r="M35" s="114"/>
    </row>
    <row r="36" spans="1:13" ht="16" customHeight="1">
      <c r="A36" s="6">
        <v>1</v>
      </c>
      <c r="B36" s="115" t="s">
        <v>118</v>
      </c>
      <c r="C36" s="116">
        <f>'Define amount of N in residue'!$B$9</f>
        <v>2.2049999999999996</v>
      </c>
      <c r="D36" s="116">
        <f>C36*2*'Define amount of N in residue'!$B$6</f>
        <v>6.5267999999999993E-2</v>
      </c>
      <c r="E36" s="117" t="s">
        <v>118</v>
      </c>
      <c r="F36" s="9">
        <f>'Define amount of N in residue'!$D$9</f>
        <v>2.3916666666666671</v>
      </c>
      <c r="G36" s="9">
        <f>F36*'Define amount of N in residue'!$D$6</f>
        <v>3.061333333333334E-2</v>
      </c>
      <c r="H36" s="9">
        <f>($D$36+G36)*(1/3)</f>
        <v>3.1960444444444444E-2</v>
      </c>
      <c r="I36" s="9">
        <f>(44/28)*H36*1000*0.01/1.865</f>
        <v>0.26929520405123619</v>
      </c>
      <c r="J36" s="9">
        <f>MT!R21</f>
        <v>3.4343779830030764E-2</v>
      </c>
      <c r="K36" s="9">
        <f>I36+J36</f>
        <v>0.30363898388126698</v>
      </c>
      <c r="L36" s="9">
        <f>K36*298*2.2*1.39*0.001*1000/44.06</f>
        <v>6.2801032180493985</v>
      </c>
      <c r="M36" s="123"/>
    </row>
    <row r="37" spans="1:13" ht="16" customHeight="1">
      <c r="A37" s="6">
        <v>2</v>
      </c>
      <c r="B37" s="119"/>
      <c r="C37" s="120"/>
      <c r="D37" s="120"/>
      <c r="E37" s="117" t="s">
        <v>92</v>
      </c>
      <c r="F37" s="9">
        <f>'Define amount of N in residue'!$D$10</f>
        <v>4.7833333333333341</v>
      </c>
      <c r="G37" s="9">
        <f>F37*'Define amount of N in residue'!$D$6</f>
        <v>6.1226666666666679E-2</v>
      </c>
      <c r="H37" s="9">
        <f t="shared" ref="H37:H38" si="9">($D$36+G37)*(1/3)</f>
        <v>4.2164888888888891E-2</v>
      </c>
      <c r="I37" s="9">
        <f t="shared" ref="I37:I44" si="10">(44/28)*H37*1000*0.01/1.865</f>
        <v>0.35527673518022046</v>
      </c>
      <c r="J37" s="9">
        <f>MT!R30</f>
        <v>3.5099870929938416E-2</v>
      </c>
      <c r="K37" s="9">
        <f t="shared" ref="K37:K44" si="11">I37+J37</f>
        <v>0.3903766061101589</v>
      </c>
      <c r="L37" s="9">
        <f t="shared" ref="L37:L43" si="12">K37*298*2.2*1.39*0.001*1000/44.06</f>
        <v>8.0740797803561062</v>
      </c>
      <c r="M37" s="123"/>
    </row>
    <row r="38" spans="1:13" ht="16" customHeight="1">
      <c r="A38" s="6">
        <v>3</v>
      </c>
      <c r="B38" s="121"/>
      <c r="C38" s="122"/>
      <c r="D38" s="122"/>
      <c r="E38" s="117" t="s">
        <v>119</v>
      </c>
      <c r="F38" s="9">
        <f>'Define amount of N in residue'!$D$11</f>
        <v>7.1750000000000007</v>
      </c>
      <c r="G38" s="9">
        <f>F38*'Define amount of N in residue'!$D$6</f>
        <v>9.1840000000000019E-2</v>
      </c>
      <c r="H38" s="9">
        <f t="shared" si="9"/>
        <v>5.2369333333333337E-2</v>
      </c>
      <c r="I38" s="9">
        <f t="shared" si="10"/>
        <v>0.44125826630920467</v>
      </c>
      <c r="J38" s="9">
        <f>MT!R39</f>
        <v>3.5855962029846075E-2</v>
      </c>
      <c r="K38" s="9">
        <f t="shared" si="11"/>
        <v>0.47711422833905076</v>
      </c>
      <c r="L38" s="9">
        <f t="shared" si="12"/>
        <v>9.8680563426628112</v>
      </c>
      <c r="M38" s="123"/>
    </row>
    <row r="39" spans="1:13" ht="16" customHeight="1">
      <c r="A39" s="6">
        <v>4</v>
      </c>
      <c r="B39" s="115" t="s">
        <v>92</v>
      </c>
      <c r="C39" s="116">
        <f>'Define amount of N in residue'!$B$10</f>
        <v>4.4099999999999993</v>
      </c>
      <c r="D39" s="116">
        <f>C39*2*'Define amount of N in residue'!$B$6</f>
        <v>0.13053599999999999</v>
      </c>
      <c r="E39" s="117" t="s">
        <v>118</v>
      </c>
      <c r="F39" s="9">
        <f>'Define amount of N in residue'!$D$9</f>
        <v>2.3916666666666671</v>
      </c>
      <c r="G39" s="9">
        <f>F39*'Define amount of N in residue'!$D$6</f>
        <v>3.061333333333334E-2</v>
      </c>
      <c r="H39" s="9">
        <f>($D$39+G39)*(1/3)</f>
        <v>5.3716444444444435E-2</v>
      </c>
      <c r="I39" s="9">
        <f t="shared" si="10"/>
        <v>0.45260887697348823</v>
      </c>
      <c r="J39" s="9">
        <f>MT!R48</f>
        <v>3.5955775275657062E-2</v>
      </c>
      <c r="K39" s="9">
        <f t="shared" si="11"/>
        <v>0.4885646522491453</v>
      </c>
      <c r="L39" s="9">
        <f t="shared" si="12"/>
        <v>10.104883126650252</v>
      </c>
      <c r="M39" s="123"/>
    </row>
    <row r="40" spans="1:13" ht="16" customHeight="1">
      <c r="A40" s="6">
        <v>5</v>
      </c>
      <c r="B40" s="119"/>
      <c r="C40" s="120"/>
      <c r="D40" s="120"/>
      <c r="E40" s="117" t="s">
        <v>92</v>
      </c>
      <c r="F40" s="9">
        <f>'Define amount of N in residue'!$D$10</f>
        <v>4.7833333333333341</v>
      </c>
      <c r="G40" s="9">
        <f>F40*'Define amount of N in residue'!$D$6</f>
        <v>6.1226666666666679E-2</v>
      </c>
      <c r="H40" s="9">
        <f t="shared" ref="H40:H41" si="13">($D$39+G40)*(1/3)</f>
        <v>6.3920888888888888E-2</v>
      </c>
      <c r="I40" s="9">
        <f t="shared" si="10"/>
        <v>0.53859040810247238</v>
      </c>
      <c r="J40" s="9">
        <f>MT!R57</f>
        <v>3.6711866375564728E-2</v>
      </c>
      <c r="K40" s="9">
        <f t="shared" si="11"/>
        <v>0.57530227447803717</v>
      </c>
      <c r="L40" s="9">
        <f t="shared" si="12"/>
        <v>11.898859688956959</v>
      </c>
      <c r="M40" s="123"/>
    </row>
    <row r="41" spans="1:13" ht="16" customHeight="1">
      <c r="A41" s="6">
        <v>6</v>
      </c>
      <c r="B41" s="121"/>
      <c r="C41" s="122"/>
      <c r="D41" s="122"/>
      <c r="E41" s="117" t="s">
        <v>119</v>
      </c>
      <c r="F41" s="9">
        <f>'Define amount of N in residue'!$D$11</f>
        <v>7.1750000000000007</v>
      </c>
      <c r="G41" s="9">
        <f>F41*'Define amount of N in residue'!$D$6</f>
        <v>9.1840000000000019E-2</v>
      </c>
      <c r="H41" s="9">
        <f t="shared" si="13"/>
        <v>7.4125333333333335E-2</v>
      </c>
      <c r="I41" s="9">
        <f t="shared" si="10"/>
        <v>0.62457193923145671</v>
      </c>
      <c r="J41" s="9">
        <f>MT!R67</f>
        <v>0</v>
      </c>
      <c r="K41" s="9">
        <f t="shared" si="11"/>
        <v>0.62457193923145671</v>
      </c>
      <c r="L41" s="9">
        <f t="shared" si="12"/>
        <v>12.917894123254626</v>
      </c>
      <c r="M41" s="123"/>
    </row>
    <row r="42" spans="1:13" ht="16" customHeight="1">
      <c r="A42" s="6">
        <v>7</v>
      </c>
      <c r="B42" s="115" t="s">
        <v>119</v>
      </c>
      <c r="C42" s="116">
        <f>'Define amount of N in residue'!$B$11</f>
        <v>6.6149999999999984</v>
      </c>
      <c r="D42" s="116">
        <f>C42*2*'Define amount of N in residue'!$B$6</f>
        <v>0.19580399999999995</v>
      </c>
      <c r="E42" s="117" t="s">
        <v>118</v>
      </c>
      <c r="F42" s="9">
        <f>'Define amount of N in residue'!$D$9</f>
        <v>2.3916666666666671</v>
      </c>
      <c r="G42" s="9">
        <f>F42*'Define amount of N in residue'!$D$6</f>
        <v>3.061333333333334E-2</v>
      </c>
      <c r="H42" s="9">
        <f>($D$42+G42)*(1/3)</f>
        <v>7.5472444444444425E-2</v>
      </c>
      <c r="I42" s="9">
        <f t="shared" si="10"/>
        <v>0.63592254989574004</v>
      </c>
      <c r="J42" s="9">
        <f>MT!R75</f>
        <v>3.7567770721283367E-2</v>
      </c>
      <c r="K42" s="9">
        <f t="shared" si="11"/>
        <v>0.67349032061702341</v>
      </c>
      <c r="L42" s="9">
        <f t="shared" si="12"/>
        <v>13.929663035251101</v>
      </c>
      <c r="M42" s="123"/>
    </row>
    <row r="43" spans="1:13" ht="16" customHeight="1">
      <c r="A43" s="6">
        <v>8</v>
      </c>
      <c r="B43" s="119"/>
      <c r="C43" s="120"/>
      <c r="D43" s="120"/>
      <c r="E43" s="117" t="s">
        <v>92</v>
      </c>
      <c r="F43" s="9">
        <f>'Define amount of N in residue'!$D$10</f>
        <v>4.7833333333333341</v>
      </c>
      <c r="G43" s="9">
        <f>F43*'Define amount of N in residue'!$D$6</f>
        <v>6.1226666666666679E-2</v>
      </c>
      <c r="H43" s="9">
        <f t="shared" ref="H43:H44" si="14">($D$42+G43)*(1/3)</f>
        <v>8.5676888888888872E-2</v>
      </c>
      <c r="I43" s="9">
        <f t="shared" si="10"/>
        <v>0.72190408102472436</v>
      </c>
      <c r="J43" s="9">
        <f>MT!R84</f>
        <v>3.8323861821191033E-2</v>
      </c>
      <c r="K43" s="9">
        <f t="shared" si="11"/>
        <v>0.76022794284591544</v>
      </c>
      <c r="L43" s="9">
        <f t="shared" si="12"/>
        <v>15.72363959755781</v>
      </c>
      <c r="M43" s="123"/>
    </row>
    <row r="44" spans="1:13" ht="16" customHeight="1">
      <c r="A44" s="6">
        <v>9</v>
      </c>
      <c r="B44" s="121"/>
      <c r="C44" s="122"/>
      <c r="D44" s="122"/>
      <c r="E44" s="117" t="s">
        <v>119</v>
      </c>
      <c r="F44" s="9">
        <f>'Define amount of N in residue'!$D$11</f>
        <v>7.1750000000000007</v>
      </c>
      <c r="G44" s="9">
        <f>F44*'Define amount of N in residue'!$D$6</f>
        <v>9.1840000000000019E-2</v>
      </c>
      <c r="H44" s="9">
        <f t="shared" si="14"/>
        <v>9.5881333333333318E-2</v>
      </c>
      <c r="I44" s="9">
        <f t="shared" si="10"/>
        <v>0.80788561215370858</v>
      </c>
      <c r="J44" s="9">
        <f>MT!R93</f>
        <v>3.9079952921098698E-2</v>
      </c>
      <c r="K44" s="9">
        <f t="shared" si="11"/>
        <v>0.84696556507480725</v>
      </c>
      <c r="L44" s="9">
        <f>K44*298*2.2*1.39*0.001*1000/44.06</f>
        <v>17.517616159864517</v>
      </c>
      <c r="M44" s="123"/>
    </row>
    <row r="47" spans="1:13" s="128" customFormat="1" ht="16" customHeight="1">
      <c r="A47" s="139" t="s">
        <v>4</v>
      </c>
      <c r="B47" s="132" t="s">
        <v>93</v>
      </c>
      <c r="C47" s="132"/>
      <c r="D47" s="132"/>
      <c r="E47" s="130" t="s">
        <v>95</v>
      </c>
      <c r="F47" s="130"/>
      <c r="G47" s="130"/>
      <c r="H47" s="140" t="s">
        <v>144</v>
      </c>
      <c r="I47" s="140" t="s">
        <v>140</v>
      </c>
      <c r="J47" s="140" t="s">
        <v>139</v>
      </c>
      <c r="K47" s="140" t="s">
        <v>138</v>
      </c>
      <c r="L47" s="140" t="s">
        <v>86</v>
      </c>
      <c r="M47" s="114"/>
    </row>
    <row r="48" spans="1:13" ht="30" customHeight="1">
      <c r="A48" s="139" t="s">
        <v>97</v>
      </c>
      <c r="B48" s="131" t="s">
        <v>94</v>
      </c>
      <c r="C48" s="131"/>
      <c r="D48" s="133" t="s">
        <v>143</v>
      </c>
      <c r="E48" s="134" t="s">
        <v>96</v>
      </c>
      <c r="F48" s="134"/>
      <c r="G48" s="135" t="s">
        <v>142</v>
      </c>
      <c r="H48" s="140"/>
      <c r="I48" s="140"/>
      <c r="J48" s="140"/>
      <c r="K48" s="140"/>
      <c r="L48" s="140"/>
      <c r="M48" s="114"/>
    </row>
    <row r="49" spans="1:13" ht="16" customHeight="1">
      <c r="A49" s="6">
        <v>1</v>
      </c>
      <c r="B49" s="115" t="s">
        <v>118</v>
      </c>
      <c r="C49" s="116">
        <f>'Define amount of N in residue'!$B$9</f>
        <v>2.2049999999999996</v>
      </c>
      <c r="D49" s="116">
        <f>C49*2*'Define amount of N in residue'!$B$6</f>
        <v>6.5267999999999993E-2</v>
      </c>
      <c r="E49" s="117" t="s">
        <v>118</v>
      </c>
      <c r="F49" s="9">
        <f>'Define amount of N in residue'!$D$9</f>
        <v>2.3916666666666671</v>
      </c>
      <c r="G49" s="9">
        <f>F49*'Define amount of N in residue'!$D$6</f>
        <v>3.061333333333334E-2</v>
      </c>
      <c r="H49" s="9">
        <f>($D$49+G49)*(1/3)</f>
        <v>3.1960444444444444E-2</v>
      </c>
      <c r="I49" s="9">
        <f>(44/28)*H49*1000*0.01/1.865</f>
        <v>0.26929520405123619</v>
      </c>
      <c r="J49" s="9">
        <f>ND!R21</f>
        <v>4.12530316565555E-2</v>
      </c>
      <c r="K49" s="9">
        <f>I49+J49</f>
        <v>0.31054823570779166</v>
      </c>
      <c r="L49" s="9">
        <f>K49*298*2.2*1.39*0.001*1000/44.06</f>
        <v>6.423005865382188</v>
      </c>
      <c r="M49" s="123"/>
    </row>
    <row r="50" spans="1:13" ht="16" customHeight="1">
      <c r="A50" s="6">
        <v>2</v>
      </c>
      <c r="B50" s="119"/>
      <c r="C50" s="120"/>
      <c r="D50" s="120"/>
      <c r="E50" s="117" t="s">
        <v>92</v>
      </c>
      <c r="F50" s="9">
        <f>'Define amount of N in residue'!$D$10</f>
        <v>4.7833333333333341</v>
      </c>
      <c r="G50" s="9">
        <f>F50*'Define amount of N in residue'!$D$6</f>
        <v>6.1226666666666679E-2</v>
      </c>
      <c r="H50" s="9">
        <f t="shared" ref="H50:H51" si="15">($D$49+G50)*(1/3)</f>
        <v>4.2164888888888891E-2</v>
      </c>
      <c r="I50" s="9">
        <f t="shared" ref="I50:I57" si="16">(44/28)*H50*1000*0.01/1.865</f>
        <v>0.35527673518022046</v>
      </c>
      <c r="J50" s="9">
        <f>ND!R30</f>
        <v>4.2373443219268038E-2</v>
      </c>
      <c r="K50" s="9">
        <f t="shared" ref="K50:K57" si="17">I50+J50</f>
        <v>0.39765017839948852</v>
      </c>
      <c r="L50" s="9">
        <f t="shared" ref="L50:L57" si="18">K50*298*2.2*1.39*0.001*1000/44.06</f>
        <v>8.2245175935678496</v>
      </c>
      <c r="M50" s="123"/>
    </row>
    <row r="51" spans="1:13" ht="16" customHeight="1">
      <c r="A51" s="6">
        <v>3</v>
      </c>
      <c r="B51" s="121"/>
      <c r="C51" s="122"/>
      <c r="D51" s="122"/>
      <c r="E51" s="117" t="s">
        <v>119</v>
      </c>
      <c r="F51" s="9">
        <f>'Define amount of N in residue'!$D$11</f>
        <v>7.1750000000000007</v>
      </c>
      <c r="G51" s="9">
        <f>F51*'Define amount of N in residue'!$D$6</f>
        <v>9.1840000000000019E-2</v>
      </c>
      <c r="H51" s="9">
        <f t="shared" si="15"/>
        <v>5.2369333333333337E-2</v>
      </c>
      <c r="I51" s="9">
        <f t="shared" si="16"/>
        <v>0.44125826630920467</v>
      </c>
      <c r="J51" s="9">
        <f>ND!R39</f>
        <v>4.3493854781980576E-2</v>
      </c>
      <c r="K51" s="9">
        <f t="shared" si="17"/>
        <v>0.48475212109118526</v>
      </c>
      <c r="L51" s="9">
        <f t="shared" si="18"/>
        <v>10.02602932175351</v>
      </c>
      <c r="M51" s="123"/>
    </row>
    <row r="52" spans="1:13" ht="16" customHeight="1">
      <c r="A52" s="6">
        <v>4</v>
      </c>
      <c r="B52" s="115" t="s">
        <v>92</v>
      </c>
      <c r="C52" s="116">
        <f>'Define amount of N in residue'!$B$10</f>
        <v>4.4099999999999993</v>
      </c>
      <c r="D52" s="116">
        <f>C52*2*'Define amount of N in residue'!$B$6</f>
        <v>0.13053599999999999</v>
      </c>
      <c r="E52" s="117" t="s">
        <v>118</v>
      </c>
      <c r="F52" s="9">
        <f>'Define amount of N in residue'!$D$9</f>
        <v>2.3916666666666671</v>
      </c>
      <c r="G52" s="9">
        <f>F52*'Define amount of N in residue'!$D$6</f>
        <v>3.061333333333334E-2</v>
      </c>
      <c r="H52" s="9">
        <f>($D$52+G52)*(1/3)</f>
        <v>5.3716444444444435E-2</v>
      </c>
      <c r="I52" s="9">
        <f t="shared" si="16"/>
        <v>0.45260887697348823</v>
      </c>
      <c r="J52" s="9">
        <f>ND!R48</f>
        <v>4.3641762771814266E-2</v>
      </c>
      <c r="K52" s="9">
        <f t="shared" si="17"/>
        <v>0.49625063974530248</v>
      </c>
      <c r="L52" s="9">
        <f t="shared" si="18"/>
        <v>10.263850839529237</v>
      </c>
      <c r="M52" s="123"/>
    </row>
    <row r="53" spans="1:13" ht="16" customHeight="1">
      <c r="A53" s="6">
        <v>5</v>
      </c>
      <c r="B53" s="119"/>
      <c r="C53" s="120"/>
      <c r="D53" s="120"/>
      <c r="E53" s="117" t="s">
        <v>92</v>
      </c>
      <c r="F53" s="9">
        <f>'Define amount of N in residue'!$D$10</f>
        <v>4.7833333333333341</v>
      </c>
      <c r="G53" s="9">
        <f>F53*'Define amount of N in residue'!$D$6</f>
        <v>6.1226666666666679E-2</v>
      </c>
      <c r="H53" s="9">
        <f t="shared" ref="H53:H54" si="19">($D$52+G53)*(1/3)</f>
        <v>6.3920888888888888E-2</v>
      </c>
      <c r="I53" s="9">
        <f t="shared" si="16"/>
        <v>0.53859040810247238</v>
      </c>
      <c r="J53" s="9">
        <f>ND!R57</f>
        <v>4.4762174334526797E-2</v>
      </c>
      <c r="K53" s="9">
        <f t="shared" si="17"/>
        <v>0.58335258243699917</v>
      </c>
      <c r="L53" s="9">
        <f t="shared" si="18"/>
        <v>12.065362567714898</v>
      </c>
      <c r="M53" s="123"/>
    </row>
    <row r="54" spans="1:13" ht="16" customHeight="1">
      <c r="A54" s="6">
        <v>6</v>
      </c>
      <c r="B54" s="121"/>
      <c r="C54" s="122"/>
      <c r="D54" s="122"/>
      <c r="E54" s="117" t="s">
        <v>119</v>
      </c>
      <c r="F54" s="9">
        <f>'Define amount of N in residue'!$D$11</f>
        <v>7.1750000000000007</v>
      </c>
      <c r="G54" s="9">
        <f>F54*'Define amount of N in residue'!$D$6</f>
        <v>9.1840000000000019E-2</v>
      </c>
      <c r="H54" s="9">
        <f t="shared" si="19"/>
        <v>7.4125333333333335E-2</v>
      </c>
      <c r="I54" s="9">
        <f t="shared" si="16"/>
        <v>0.62457193923145671</v>
      </c>
      <c r="J54" s="9">
        <f>ND!R66</f>
        <v>4.5882585897239342E-2</v>
      </c>
      <c r="K54" s="9">
        <f t="shared" si="17"/>
        <v>0.67045452512869608</v>
      </c>
      <c r="L54" s="9">
        <f t="shared" si="18"/>
        <v>13.86687429590056</v>
      </c>
      <c r="M54" s="123"/>
    </row>
    <row r="55" spans="1:13" ht="16" customHeight="1">
      <c r="A55" s="6">
        <v>7</v>
      </c>
      <c r="B55" s="115" t="s">
        <v>119</v>
      </c>
      <c r="C55" s="116">
        <f>'Define amount of N in residue'!$B$11</f>
        <v>6.6149999999999984</v>
      </c>
      <c r="D55" s="116">
        <f>C55*2*'Define amount of N in residue'!$B$6</f>
        <v>0.19580399999999995</v>
      </c>
      <c r="E55" s="117" t="s">
        <v>118</v>
      </c>
      <c r="F55" s="9">
        <f>'Define amount of N in residue'!$D$9</f>
        <v>2.3916666666666671</v>
      </c>
      <c r="G55" s="9">
        <f>F55*'Define amount of N in residue'!$D$6</f>
        <v>3.061333333333334E-2</v>
      </c>
      <c r="H55" s="9">
        <f>($D$55+G55)*(1/3)</f>
        <v>7.5472444444444425E-2</v>
      </c>
      <c r="I55" s="9">
        <f t="shared" si="16"/>
        <v>0.63592254989574004</v>
      </c>
      <c r="J55" s="9">
        <f>ND!R75</f>
        <v>4.6030493887073025E-2</v>
      </c>
      <c r="K55" s="9">
        <f t="shared" si="17"/>
        <v>0.68195304378281307</v>
      </c>
      <c r="L55" s="9">
        <f t="shared" si="18"/>
        <v>14.10469581367628</v>
      </c>
      <c r="M55" s="123"/>
    </row>
    <row r="56" spans="1:13" ht="16" customHeight="1">
      <c r="A56" s="6">
        <v>8</v>
      </c>
      <c r="B56" s="119"/>
      <c r="C56" s="120"/>
      <c r="D56" s="120"/>
      <c r="E56" s="117" t="s">
        <v>92</v>
      </c>
      <c r="F56" s="9">
        <f>'Define amount of N in residue'!$D$10</f>
        <v>4.7833333333333341</v>
      </c>
      <c r="G56" s="9">
        <f>F56*'Define amount of N in residue'!$D$6</f>
        <v>6.1226666666666679E-2</v>
      </c>
      <c r="H56" s="9">
        <f t="shared" ref="H56:H57" si="20">($D$55+G56)*(1/3)</f>
        <v>8.5676888888888872E-2</v>
      </c>
      <c r="I56" s="9">
        <f t="shared" si="16"/>
        <v>0.72190408102472436</v>
      </c>
      <c r="J56" s="9">
        <f>ND!R84</f>
        <v>4.715090544978557E-2</v>
      </c>
      <c r="K56" s="9">
        <f t="shared" si="17"/>
        <v>0.76905498647450998</v>
      </c>
      <c r="L56" s="9">
        <f t="shared" si="18"/>
        <v>15.906207541861944</v>
      </c>
      <c r="M56" s="123"/>
    </row>
    <row r="57" spans="1:13" ht="16" customHeight="1">
      <c r="A57" s="6">
        <v>9</v>
      </c>
      <c r="B57" s="121"/>
      <c r="C57" s="122"/>
      <c r="D57" s="122"/>
      <c r="E57" s="117" t="s">
        <v>119</v>
      </c>
      <c r="F57" s="9">
        <f>'Define amount of N in residue'!$D$11</f>
        <v>7.1750000000000007</v>
      </c>
      <c r="G57" s="9">
        <f>F57*'Define amount of N in residue'!$D$6</f>
        <v>9.1840000000000019E-2</v>
      </c>
      <c r="H57" s="9">
        <f t="shared" si="20"/>
        <v>9.5881333333333318E-2</v>
      </c>
      <c r="I57" s="9">
        <f t="shared" si="16"/>
        <v>0.80788561215370858</v>
      </c>
      <c r="J57" s="9">
        <f>ND!R93</f>
        <v>4.8271317012498108E-2</v>
      </c>
      <c r="K57" s="9">
        <f t="shared" si="17"/>
        <v>0.85615692916620667</v>
      </c>
      <c r="L57" s="9">
        <f t="shared" si="18"/>
        <v>17.707719270047605</v>
      </c>
      <c r="M57" s="123"/>
    </row>
    <row r="60" spans="1:13" s="128" customFormat="1" ht="16" customHeight="1">
      <c r="A60" s="139" t="s">
        <v>6</v>
      </c>
      <c r="B60" s="132" t="s">
        <v>93</v>
      </c>
      <c r="C60" s="132"/>
      <c r="D60" s="132"/>
      <c r="E60" s="130" t="s">
        <v>95</v>
      </c>
      <c r="F60" s="130"/>
      <c r="G60" s="130"/>
      <c r="H60" s="140" t="s">
        <v>144</v>
      </c>
      <c r="I60" s="140" t="s">
        <v>140</v>
      </c>
      <c r="J60" s="140" t="s">
        <v>139</v>
      </c>
      <c r="K60" s="140" t="s">
        <v>138</v>
      </c>
      <c r="L60" s="140" t="s">
        <v>86</v>
      </c>
      <c r="M60" s="114"/>
    </row>
    <row r="61" spans="1:13" ht="30" customHeight="1">
      <c r="A61" s="139" t="s">
        <v>97</v>
      </c>
      <c r="B61" s="131" t="s">
        <v>94</v>
      </c>
      <c r="C61" s="131"/>
      <c r="D61" s="133" t="s">
        <v>143</v>
      </c>
      <c r="E61" s="134" t="s">
        <v>96</v>
      </c>
      <c r="F61" s="134"/>
      <c r="G61" s="135" t="s">
        <v>142</v>
      </c>
      <c r="H61" s="140"/>
      <c r="I61" s="140"/>
      <c r="J61" s="140"/>
      <c r="K61" s="140"/>
      <c r="L61" s="140"/>
      <c r="M61" s="114"/>
    </row>
    <row r="62" spans="1:13" ht="16" customHeight="1">
      <c r="A62" s="6">
        <v>1</v>
      </c>
      <c r="B62" s="124" t="s">
        <v>118</v>
      </c>
      <c r="C62" s="116">
        <f>'Define amount of N in residue'!$B$9</f>
        <v>2.2049999999999996</v>
      </c>
      <c r="D62" s="116">
        <f>C62*2*'Define amount of N in residue'!$B$6</f>
        <v>6.5267999999999993E-2</v>
      </c>
      <c r="E62" s="117" t="s">
        <v>118</v>
      </c>
      <c r="F62" s="9">
        <f>'Define amount of N in residue'!$D$9</f>
        <v>2.3916666666666671</v>
      </c>
      <c r="G62" s="9">
        <f>F62*'Define amount of N in residue'!$D$6</f>
        <v>3.061333333333334E-2</v>
      </c>
      <c r="H62" s="9">
        <f>($D$62+G62)*(1/3)</f>
        <v>3.1960444444444444E-2</v>
      </c>
      <c r="I62" s="9">
        <f>(44/28)*H62*1000*0.01/1.865</f>
        <v>0.26929520405123619</v>
      </c>
      <c r="J62" s="9">
        <f>NE!R21</f>
        <v>3.9667992436957074E-2</v>
      </c>
      <c r="K62" s="9">
        <f>I62+J62</f>
        <v>0.30896319648819326</v>
      </c>
      <c r="L62" s="9">
        <f>K62*298*2.2*1.39*0.001*1000/44.06</f>
        <v>6.3902228222548043</v>
      </c>
      <c r="M62" s="123"/>
    </row>
    <row r="63" spans="1:13" ht="16" customHeight="1">
      <c r="A63" s="6">
        <v>2</v>
      </c>
      <c r="B63" s="124"/>
      <c r="C63" s="120"/>
      <c r="D63" s="120"/>
      <c r="E63" s="117" t="s">
        <v>92</v>
      </c>
      <c r="F63" s="9">
        <f>'Define amount of N in residue'!$D$10</f>
        <v>4.7833333333333341</v>
      </c>
      <c r="G63" s="9">
        <f>F63*'Define amount of N in residue'!$D$6</f>
        <v>6.1226666666666679E-2</v>
      </c>
      <c r="H63" s="9">
        <f t="shared" ref="H63:H64" si="21">($D$62+G63)*(1/3)</f>
        <v>4.2164888888888891E-2</v>
      </c>
      <c r="I63" s="9">
        <f t="shared" ref="I63:I70" si="22">(44/28)*H63*1000*0.01/1.865</f>
        <v>0.35527673518022046</v>
      </c>
      <c r="J63" s="9">
        <f>NE!R30</f>
        <v>4.1610928617802141E-2</v>
      </c>
      <c r="K63" s="9">
        <f t="shared" ref="K63:K70" si="23">I63+J63</f>
        <v>0.39688766379802259</v>
      </c>
      <c r="L63" s="9">
        <f t="shared" ref="L63:L70" si="24">K63*298*2.2*1.39*0.001*1000/44.06</f>
        <v>8.2087466594761054</v>
      </c>
      <c r="M63" s="123"/>
    </row>
    <row r="64" spans="1:13" ht="16" customHeight="1">
      <c r="A64" s="6">
        <v>3</v>
      </c>
      <c r="B64" s="124"/>
      <c r="C64" s="122"/>
      <c r="D64" s="122"/>
      <c r="E64" s="117" t="s">
        <v>119</v>
      </c>
      <c r="F64" s="9">
        <f>'Define amount of N in residue'!$D$11</f>
        <v>7.1750000000000007</v>
      </c>
      <c r="G64" s="9">
        <f>F64*'Define amount of N in residue'!$D$6</f>
        <v>9.1840000000000019E-2</v>
      </c>
      <c r="H64" s="9">
        <f t="shared" si="21"/>
        <v>5.2369333333333337E-2</v>
      </c>
      <c r="I64" s="9">
        <f t="shared" si="22"/>
        <v>0.44125826630920467</v>
      </c>
      <c r="J64" s="9">
        <f>NE!R39</f>
        <v>4.3553864798647215E-2</v>
      </c>
      <c r="K64" s="9">
        <f t="shared" si="23"/>
        <v>0.48481213110785187</v>
      </c>
      <c r="L64" s="9">
        <f t="shared" si="24"/>
        <v>10.027270496697406</v>
      </c>
      <c r="M64" s="123"/>
    </row>
    <row r="65" spans="1:13" ht="16" customHeight="1">
      <c r="A65" s="6">
        <v>4</v>
      </c>
      <c r="B65" s="124" t="s">
        <v>92</v>
      </c>
      <c r="C65" s="116">
        <f>'Define amount of N in residue'!$B$10</f>
        <v>4.4099999999999993</v>
      </c>
      <c r="D65" s="116">
        <f>C65*2*'Define amount of N in residue'!$B$6</f>
        <v>0.13053599999999999</v>
      </c>
      <c r="E65" s="117" t="s">
        <v>118</v>
      </c>
      <c r="F65" s="9">
        <f>'Define amount of N in residue'!$D$9</f>
        <v>2.3916666666666671</v>
      </c>
      <c r="G65" s="9">
        <f>F65*'Define amount of N in residue'!$D$6</f>
        <v>3.061333333333334E-2</v>
      </c>
      <c r="H65" s="9">
        <f>($D$65+G65)*(1/3)</f>
        <v>5.3716444444444435E-2</v>
      </c>
      <c r="I65" s="9">
        <f t="shared" si="22"/>
        <v>0.45260887697348823</v>
      </c>
      <c r="J65" s="9">
        <f>NE!R48</f>
        <v>4.3810356068862424E-2</v>
      </c>
      <c r="K65" s="9">
        <f t="shared" si="23"/>
        <v>0.49641923304235064</v>
      </c>
      <c r="L65" s="9">
        <f t="shared" si="24"/>
        <v>10.267337820330585</v>
      </c>
      <c r="M65" s="123"/>
    </row>
    <row r="66" spans="1:13" ht="16" customHeight="1">
      <c r="A66" s="6">
        <v>5</v>
      </c>
      <c r="B66" s="124"/>
      <c r="C66" s="120"/>
      <c r="D66" s="120"/>
      <c r="E66" s="117" t="s">
        <v>92</v>
      </c>
      <c r="F66" s="9">
        <f>'Define amount of N in residue'!$D$10</f>
        <v>4.7833333333333341</v>
      </c>
      <c r="G66" s="9">
        <f>F66*'Define amount of N in residue'!$D$6</f>
        <v>6.1226666666666679E-2</v>
      </c>
      <c r="H66" s="9">
        <f t="shared" ref="H66:H67" si="25">($D$65+G66)*(1/3)</f>
        <v>6.3920888888888888E-2</v>
      </c>
      <c r="I66" s="9">
        <f t="shared" si="22"/>
        <v>0.53859040810247238</v>
      </c>
      <c r="J66" s="9">
        <f>NE!R57</f>
        <v>4.5753292249707492E-2</v>
      </c>
      <c r="K66" s="9">
        <f t="shared" si="23"/>
        <v>0.58434370035217986</v>
      </c>
      <c r="L66" s="9">
        <f t="shared" si="24"/>
        <v>12.085861657551881</v>
      </c>
      <c r="M66" s="123"/>
    </row>
    <row r="67" spans="1:13" ht="16" customHeight="1">
      <c r="A67" s="6">
        <v>6</v>
      </c>
      <c r="B67" s="124"/>
      <c r="C67" s="122"/>
      <c r="D67" s="122"/>
      <c r="E67" s="117" t="s">
        <v>119</v>
      </c>
      <c r="F67" s="9">
        <f>'Define amount of N in residue'!$D$11</f>
        <v>7.1750000000000007</v>
      </c>
      <c r="G67" s="9">
        <f>F67*'Define amount of N in residue'!$D$6</f>
        <v>9.1840000000000019E-2</v>
      </c>
      <c r="H67" s="9">
        <f t="shared" si="25"/>
        <v>7.4125333333333335E-2</v>
      </c>
      <c r="I67" s="9">
        <f t="shared" si="22"/>
        <v>0.62457193923145671</v>
      </c>
      <c r="J67" s="9">
        <f>NE!R66</f>
        <v>4.7696228430552559E-2</v>
      </c>
      <c r="K67" s="9">
        <f t="shared" si="23"/>
        <v>0.67226816766200925</v>
      </c>
      <c r="L67" s="9">
        <f t="shared" si="24"/>
        <v>13.904385494773182</v>
      </c>
      <c r="M67" s="123"/>
    </row>
    <row r="68" spans="1:13" ht="16" customHeight="1">
      <c r="A68" s="6">
        <v>7</v>
      </c>
      <c r="B68" s="124" t="s">
        <v>119</v>
      </c>
      <c r="C68" s="116">
        <f>'Define amount of N in residue'!$B$11</f>
        <v>6.6149999999999984</v>
      </c>
      <c r="D68" s="116">
        <f>C68*2*'Define amount of N in residue'!$B$6</f>
        <v>0.19580399999999995</v>
      </c>
      <c r="E68" s="117" t="s">
        <v>118</v>
      </c>
      <c r="F68" s="9">
        <f>'Define amount of N in residue'!$D$9</f>
        <v>2.3916666666666671</v>
      </c>
      <c r="G68" s="9">
        <f>F68*'Define amount of N in residue'!$D$6</f>
        <v>3.061333333333334E-2</v>
      </c>
      <c r="H68" s="9">
        <f>($D$68+G68)*(1/3)</f>
        <v>7.5472444444444425E-2</v>
      </c>
      <c r="I68" s="9">
        <f t="shared" si="22"/>
        <v>0.63592254989574004</v>
      </c>
      <c r="J68" s="9">
        <f>NE!R75</f>
        <v>4.7952719700767775E-2</v>
      </c>
      <c r="K68" s="9">
        <f t="shared" si="23"/>
        <v>0.6838752695965078</v>
      </c>
      <c r="L68" s="9">
        <f t="shared" si="24"/>
        <v>14.144452818406355</v>
      </c>
      <c r="M68" s="123"/>
    </row>
    <row r="69" spans="1:13" ht="16" customHeight="1">
      <c r="A69" s="6">
        <v>8</v>
      </c>
      <c r="B69" s="124"/>
      <c r="C69" s="120"/>
      <c r="D69" s="120"/>
      <c r="E69" s="117" t="s">
        <v>92</v>
      </c>
      <c r="F69" s="9">
        <f>'Define amount of N in residue'!$D$10</f>
        <v>4.7833333333333341</v>
      </c>
      <c r="G69" s="9">
        <f>F69*'Define amount of N in residue'!$D$6</f>
        <v>6.1226666666666679E-2</v>
      </c>
      <c r="H69" s="9">
        <f t="shared" ref="H69:H70" si="26">($D$68+G69)*(1/3)</f>
        <v>8.5676888888888872E-2</v>
      </c>
      <c r="I69" s="9">
        <f t="shared" si="22"/>
        <v>0.72190408102472436</v>
      </c>
      <c r="J69" s="9">
        <f>NE!R84</f>
        <v>4.9895655881612842E-2</v>
      </c>
      <c r="K69" s="9">
        <f t="shared" si="23"/>
        <v>0.77179973690633719</v>
      </c>
      <c r="L69" s="9">
        <f t="shared" si="24"/>
        <v>15.962976655627656</v>
      </c>
      <c r="M69" s="123"/>
    </row>
    <row r="70" spans="1:13" ht="16" customHeight="1">
      <c r="A70" s="6">
        <v>9</v>
      </c>
      <c r="B70" s="124"/>
      <c r="C70" s="122"/>
      <c r="D70" s="122"/>
      <c r="E70" s="117" t="s">
        <v>119</v>
      </c>
      <c r="F70" s="9">
        <f>'Define amount of N in residue'!$D$11</f>
        <v>7.1750000000000007</v>
      </c>
      <c r="G70" s="9">
        <f>F70*'Define amount of N in residue'!$D$6</f>
        <v>9.1840000000000019E-2</v>
      </c>
      <c r="H70" s="9">
        <f t="shared" si="26"/>
        <v>9.5881333333333318E-2</v>
      </c>
      <c r="I70" s="9">
        <f t="shared" si="22"/>
        <v>0.80788561215370858</v>
      </c>
      <c r="J70" s="9">
        <f>NE!R93</f>
        <v>5.8989495915050885E-2</v>
      </c>
      <c r="K70" s="9">
        <f t="shared" si="23"/>
        <v>0.86687510806875945</v>
      </c>
      <c r="L70" s="9">
        <f t="shared" si="24"/>
        <v>17.929401179785096</v>
      </c>
      <c r="M70" s="123"/>
    </row>
    <row r="73" spans="1:13" s="128" customFormat="1" ht="16" customHeight="1">
      <c r="A73" s="139" t="s">
        <v>7</v>
      </c>
      <c r="B73" s="132" t="s">
        <v>93</v>
      </c>
      <c r="C73" s="132"/>
      <c r="D73" s="132"/>
      <c r="E73" s="130" t="s">
        <v>95</v>
      </c>
      <c r="F73" s="130"/>
      <c r="G73" s="130"/>
      <c r="H73" s="140" t="s">
        <v>144</v>
      </c>
      <c r="I73" s="140" t="s">
        <v>140</v>
      </c>
      <c r="J73" s="140" t="s">
        <v>139</v>
      </c>
      <c r="K73" s="140" t="s">
        <v>138</v>
      </c>
      <c r="L73" s="140" t="s">
        <v>86</v>
      </c>
      <c r="M73" s="114"/>
    </row>
    <row r="74" spans="1:13" ht="30" customHeight="1">
      <c r="A74" s="139" t="s">
        <v>97</v>
      </c>
      <c r="B74" s="131" t="s">
        <v>94</v>
      </c>
      <c r="C74" s="131"/>
      <c r="D74" s="133" t="s">
        <v>143</v>
      </c>
      <c r="E74" s="134" t="s">
        <v>96</v>
      </c>
      <c r="F74" s="134"/>
      <c r="G74" s="135" t="s">
        <v>142</v>
      </c>
      <c r="H74" s="140"/>
      <c r="I74" s="140"/>
      <c r="J74" s="140"/>
      <c r="K74" s="140"/>
      <c r="L74" s="140"/>
      <c r="M74" s="114"/>
    </row>
    <row r="75" spans="1:13" ht="16" customHeight="1">
      <c r="A75" s="6">
        <v>1</v>
      </c>
      <c r="B75" s="124" t="s">
        <v>118</v>
      </c>
      <c r="C75" s="116">
        <f>'Define amount of N in residue'!$B$9</f>
        <v>2.2049999999999996</v>
      </c>
      <c r="D75" s="116">
        <f>C75*2*'Define amount of N in residue'!$B$6</f>
        <v>6.5267999999999993E-2</v>
      </c>
      <c r="E75" s="117" t="s">
        <v>118</v>
      </c>
      <c r="F75" s="9">
        <f>'Define amount of N in residue'!$D$9</f>
        <v>2.3916666666666671</v>
      </c>
      <c r="G75" s="9">
        <f>F75*'Define amount of N in residue'!$D$6</f>
        <v>3.061333333333334E-2</v>
      </c>
      <c r="H75" s="9">
        <f>($D$75+G75)*(1/3)</f>
        <v>3.1960444444444444E-2</v>
      </c>
      <c r="I75" s="9">
        <f>(44/28)*H75*1000*0.01/1.865</f>
        <v>0.26929520405123619</v>
      </c>
      <c r="J75" s="9">
        <f>OK!R21</f>
        <v>3.1374820960584179E-2</v>
      </c>
      <c r="K75" s="9">
        <f>I75+J75</f>
        <v>0.30067002501182039</v>
      </c>
      <c r="L75" s="9">
        <f>K75*298*2.2*1.39*0.001*1000/44.06</f>
        <v>6.2186968468649964</v>
      </c>
      <c r="M75" s="123"/>
    </row>
    <row r="76" spans="1:13" ht="16" customHeight="1">
      <c r="A76" s="6">
        <v>2</v>
      </c>
      <c r="B76" s="124"/>
      <c r="C76" s="120"/>
      <c r="D76" s="120"/>
      <c r="E76" s="117" t="s">
        <v>92</v>
      </c>
      <c r="F76" s="9">
        <f>'Define amount of N in residue'!$D$10</f>
        <v>4.7833333333333341</v>
      </c>
      <c r="G76" s="9">
        <f>F76*'Define amount of N in residue'!$D$6</f>
        <v>6.1226666666666679E-2</v>
      </c>
      <c r="H76" s="9">
        <f t="shared" ref="H76:H77" si="27">($D$75+G76)*(1/3)</f>
        <v>4.2164888888888891E-2</v>
      </c>
      <c r="I76" s="9">
        <f t="shared" ref="I76:I83" si="28">(44/28)*H76*1000*0.01/1.865</f>
        <v>0.35527673518022046</v>
      </c>
      <c r="J76" s="9">
        <f>OK!R30</f>
        <v>3.3051168738320862E-2</v>
      </c>
      <c r="K76" s="9">
        <f t="shared" ref="K76:K83" si="29">I76+J76</f>
        <v>0.38832790391854133</v>
      </c>
      <c r="L76" s="9">
        <f t="shared" ref="L76:L83" si="30">K76*298*2.2*1.39*0.001*1000/44.06</f>
        <v>8.0317068904789828</v>
      </c>
      <c r="M76" s="123"/>
    </row>
    <row r="77" spans="1:13" ht="16" customHeight="1">
      <c r="A77" s="6">
        <v>3</v>
      </c>
      <c r="B77" s="124"/>
      <c r="C77" s="122"/>
      <c r="D77" s="122"/>
      <c r="E77" s="117" t="s">
        <v>119</v>
      </c>
      <c r="F77" s="9">
        <f>'Define amount of N in residue'!$D$11</f>
        <v>7.1750000000000007</v>
      </c>
      <c r="G77" s="9">
        <f>F77*'Define amount of N in residue'!$D$6</f>
        <v>9.1840000000000019E-2</v>
      </c>
      <c r="H77" s="9">
        <f t="shared" si="27"/>
        <v>5.2369333333333337E-2</v>
      </c>
      <c r="I77" s="9">
        <f t="shared" si="28"/>
        <v>0.44125826630920467</v>
      </c>
      <c r="J77" s="9">
        <f>OK!R39</f>
        <v>9.8612728702734326E-2</v>
      </c>
      <c r="K77" s="9">
        <f t="shared" si="29"/>
        <v>0.53987099501193903</v>
      </c>
      <c r="L77" s="9">
        <f t="shared" si="30"/>
        <v>11.166041757114385</v>
      </c>
      <c r="M77" s="123"/>
    </row>
    <row r="78" spans="1:13" ht="16" customHeight="1">
      <c r="A78" s="6">
        <v>4</v>
      </c>
      <c r="B78" s="124" t="s">
        <v>92</v>
      </c>
      <c r="C78" s="116">
        <f>'Define amount of N in residue'!$B$10</f>
        <v>4.4099999999999993</v>
      </c>
      <c r="D78" s="116">
        <f>C78*2*'Define amount of N in residue'!$B$6</f>
        <v>0.13053599999999999</v>
      </c>
      <c r="E78" s="117" t="s">
        <v>118</v>
      </c>
      <c r="F78" s="9">
        <f>'Define amount of N in residue'!$D$9</f>
        <v>2.3916666666666671</v>
      </c>
      <c r="G78" s="9">
        <f>F78*'Define amount of N in residue'!$D$6</f>
        <v>3.061333333333334E-2</v>
      </c>
      <c r="H78" s="9">
        <f>($D$78+G78)*(1/3)</f>
        <v>5.3716444444444435E-2</v>
      </c>
      <c r="I78" s="9">
        <f t="shared" si="28"/>
        <v>0.45260887697348823</v>
      </c>
      <c r="J78" s="9">
        <f>OK!R48</f>
        <v>3.4948814865984348E-2</v>
      </c>
      <c r="K78" s="9">
        <f t="shared" si="29"/>
        <v>0.48755769183947256</v>
      </c>
      <c r="L78" s="9">
        <f t="shared" si="30"/>
        <v>10.084056369728597</v>
      </c>
      <c r="M78" s="123"/>
    </row>
    <row r="79" spans="1:13" ht="16" customHeight="1">
      <c r="A79" s="6">
        <v>5</v>
      </c>
      <c r="B79" s="124"/>
      <c r="C79" s="120"/>
      <c r="D79" s="120"/>
      <c r="E79" s="117" t="s">
        <v>92</v>
      </c>
      <c r="F79" s="9">
        <f>'Define amount of N in residue'!$D$10</f>
        <v>4.7833333333333341</v>
      </c>
      <c r="G79" s="9">
        <f>F79*'Define amount of N in residue'!$D$6</f>
        <v>6.1226666666666679E-2</v>
      </c>
      <c r="H79" s="9">
        <f t="shared" ref="H79:H80" si="31">($D$78+G79)*(1/3)</f>
        <v>6.3920888888888888E-2</v>
      </c>
      <c r="I79" s="9">
        <f t="shared" si="28"/>
        <v>0.53859040810247238</v>
      </c>
      <c r="J79" s="9">
        <f>OK!R57</f>
        <v>3.6625162643721024E-2</v>
      </c>
      <c r="K79" s="9">
        <f t="shared" si="29"/>
        <v>0.57521557074619345</v>
      </c>
      <c r="L79" s="9">
        <f t="shared" si="30"/>
        <v>11.897066413342582</v>
      </c>
      <c r="M79" s="123"/>
    </row>
    <row r="80" spans="1:13" ht="16" customHeight="1">
      <c r="A80" s="6">
        <v>6</v>
      </c>
      <c r="B80" s="124"/>
      <c r="C80" s="122"/>
      <c r="D80" s="122"/>
      <c r="E80" s="117" t="s">
        <v>119</v>
      </c>
      <c r="F80" s="9">
        <f>'Define amount of N in residue'!$D$11</f>
        <v>7.1750000000000007</v>
      </c>
      <c r="G80" s="9">
        <f>F80*'Define amount of N in residue'!$D$6</f>
        <v>9.1840000000000019E-2</v>
      </c>
      <c r="H80" s="9">
        <f t="shared" si="31"/>
        <v>7.4125333333333335E-2</v>
      </c>
      <c r="I80" s="9">
        <f t="shared" si="28"/>
        <v>0.62457193923145671</v>
      </c>
      <c r="J80" s="9">
        <f>OK!R66</f>
        <v>3.8301510421457699E-2</v>
      </c>
      <c r="K80" s="9">
        <f t="shared" si="29"/>
        <v>0.66287344965291439</v>
      </c>
      <c r="L80" s="9">
        <f t="shared" si="30"/>
        <v>13.710076456956571</v>
      </c>
      <c r="M80" s="123"/>
    </row>
    <row r="81" spans="1:13" ht="16" customHeight="1">
      <c r="A81" s="6">
        <v>7</v>
      </c>
      <c r="B81" s="124" t="s">
        <v>119</v>
      </c>
      <c r="C81" s="116">
        <f>'Define amount of N in residue'!$B$11</f>
        <v>6.6149999999999984</v>
      </c>
      <c r="D81" s="116">
        <f>C81*2*'Define amount of N in residue'!$B$6</f>
        <v>0.19580399999999995</v>
      </c>
      <c r="E81" s="117" t="s">
        <v>118</v>
      </c>
      <c r="F81" s="9">
        <f>'Define amount of N in residue'!$D$9</f>
        <v>2.3916666666666671</v>
      </c>
      <c r="G81" s="9">
        <f>F81*'Define amount of N in residue'!$D$6</f>
        <v>3.061333333333334E-2</v>
      </c>
      <c r="H81" s="9">
        <f>($D$81+G81)*(1/3)</f>
        <v>7.5472444444444425E-2</v>
      </c>
      <c r="I81" s="9">
        <f t="shared" si="28"/>
        <v>0.63592254989574004</v>
      </c>
      <c r="J81" s="9">
        <f>OK!R75</f>
        <v>3.8522808771384517E-2</v>
      </c>
      <c r="K81" s="9">
        <f t="shared" si="29"/>
        <v>0.67444535866712452</v>
      </c>
      <c r="L81" s="9">
        <f t="shared" si="30"/>
        <v>13.949415892592194</v>
      </c>
      <c r="M81" s="123"/>
    </row>
    <row r="82" spans="1:13" ht="16" customHeight="1">
      <c r="A82" s="6">
        <v>8</v>
      </c>
      <c r="B82" s="124"/>
      <c r="C82" s="120"/>
      <c r="D82" s="120"/>
      <c r="E82" s="117" t="s">
        <v>92</v>
      </c>
      <c r="F82" s="9">
        <f>'Define amount of N in residue'!$D$10</f>
        <v>4.7833333333333341</v>
      </c>
      <c r="G82" s="9">
        <f>F82*'Define amount of N in residue'!$D$6</f>
        <v>6.1226666666666679E-2</v>
      </c>
      <c r="H82" s="9">
        <f t="shared" ref="H82:H83" si="32">($D$81+G82)*(1/3)</f>
        <v>8.5676888888888872E-2</v>
      </c>
      <c r="I82" s="9">
        <f t="shared" si="28"/>
        <v>0.72190408102472436</v>
      </c>
      <c r="J82" s="9">
        <f>OK!R84</f>
        <v>4.0199156549121193E-2</v>
      </c>
      <c r="K82" s="9">
        <f t="shared" si="29"/>
        <v>0.76210323757384557</v>
      </c>
      <c r="L82" s="9">
        <f t="shared" si="30"/>
        <v>15.76242593620618</v>
      </c>
      <c r="M82" s="123"/>
    </row>
    <row r="83" spans="1:13" ht="16" customHeight="1">
      <c r="A83" s="6">
        <v>9</v>
      </c>
      <c r="B83" s="124"/>
      <c r="C83" s="122"/>
      <c r="D83" s="122"/>
      <c r="E83" s="117" t="s">
        <v>119</v>
      </c>
      <c r="F83" s="9">
        <f>'Define amount of N in residue'!$D$11</f>
        <v>7.1750000000000007</v>
      </c>
      <c r="G83" s="9">
        <f>F83*'Define amount of N in residue'!$D$6</f>
        <v>9.1840000000000019E-2</v>
      </c>
      <c r="H83" s="9">
        <f t="shared" si="32"/>
        <v>9.5881333333333318E-2</v>
      </c>
      <c r="I83" s="9">
        <f t="shared" si="28"/>
        <v>0.80788561215370858</v>
      </c>
      <c r="J83" s="9">
        <f>OK!R93</f>
        <v>4.1875504326857875E-2</v>
      </c>
      <c r="K83" s="9">
        <f t="shared" si="29"/>
        <v>0.8497611164805664</v>
      </c>
      <c r="L83" s="9">
        <f t="shared" si="30"/>
        <v>17.575435979820163</v>
      </c>
      <c r="M83" s="123"/>
    </row>
    <row r="86" spans="1:13" s="128" customFormat="1" ht="16" customHeight="1">
      <c r="A86" s="139" t="s">
        <v>1</v>
      </c>
      <c r="B86" s="132" t="s">
        <v>93</v>
      </c>
      <c r="C86" s="132"/>
      <c r="D86" s="132"/>
      <c r="E86" s="130" t="s">
        <v>95</v>
      </c>
      <c r="F86" s="130"/>
      <c r="G86" s="130"/>
      <c r="H86" s="140" t="s">
        <v>144</v>
      </c>
      <c r="I86" s="140" t="s">
        <v>140</v>
      </c>
      <c r="J86" s="140" t="s">
        <v>139</v>
      </c>
      <c r="K86" s="140" t="s">
        <v>138</v>
      </c>
      <c r="L86" s="140" t="s">
        <v>86</v>
      </c>
      <c r="M86" s="114"/>
    </row>
    <row r="87" spans="1:13" ht="30" customHeight="1">
      <c r="A87" s="139" t="s">
        <v>97</v>
      </c>
      <c r="B87" s="131" t="s">
        <v>94</v>
      </c>
      <c r="C87" s="131"/>
      <c r="D87" s="133" t="s">
        <v>143</v>
      </c>
      <c r="E87" s="134" t="s">
        <v>96</v>
      </c>
      <c r="F87" s="134"/>
      <c r="G87" s="135" t="s">
        <v>142</v>
      </c>
      <c r="H87" s="140"/>
      <c r="I87" s="140"/>
      <c r="J87" s="140"/>
      <c r="K87" s="140"/>
      <c r="L87" s="140"/>
      <c r="M87" s="114"/>
    </row>
    <row r="88" spans="1:13" ht="16" customHeight="1">
      <c r="A88" s="6">
        <v>1</v>
      </c>
      <c r="B88" s="124" t="s">
        <v>118</v>
      </c>
      <c r="C88" s="116">
        <f>'Define amount of N in residue'!$B$9</f>
        <v>2.2049999999999996</v>
      </c>
      <c r="D88" s="116">
        <f>C88*2*'Define amount of N in residue'!$B$6</f>
        <v>6.5267999999999993E-2</v>
      </c>
      <c r="E88" s="117" t="s">
        <v>118</v>
      </c>
      <c r="F88" s="9">
        <f>'Define amount of N in residue'!$D$9</f>
        <v>2.3916666666666671</v>
      </c>
      <c r="G88" s="9">
        <f>F88*'Define amount of N in residue'!$D$6</f>
        <v>3.061333333333334E-2</v>
      </c>
      <c r="H88" s="9">
        <f>($D$88+G88)*(1/3)</f>
        <v>3.1960444444444444E-2</v>
      </c>
      <c r="I88" s="9">
        <f>(44/28)*H88*1000*0.01/1.865</f>
        <v>0.26929520405123619</v>
      </c>
      <c r="J88" s="9">
        <f>OR!R21</f>
        <v>3.3364658284367923E-2</v>
      </c>
      <c r="K88" s="9">
        <f>I88+J88</f>
        <v>0.3026598623356041</v>
      </c>
      <c r="L88" s="9">
        <f>K88*298*2.2*1.39*0.001*1000/44.06</f>
        <v>6.2598522466781343</v>
      </c>
      <c r="M88" s="123"/>
    </row>
    <row r="89" spans="1:13" ht="16" customHeight="1">
      <c r="A89" s="6">
        <v>2</v>
      </c>
      <c r="B89" s="124"/>
      <c r="C89" s="120"/>
      <c r="D89" s="120"/>
      <c r="E89" s="117" t="s">
        <v>92</v>
      </c>
      <c r="F89" s="9">
        <f>'Define amount of N in residue'!$D$10</f>
        <v>4.7833333333333341</v>
      </c>
      <c r="G89" s="9">
        <f>F89*'Define amount of N in residue'!$D$6</f>
        <v>6.1226666666666679E-2</v>
      </c>
      <c r="H89" s="9">
        <f t="shared" ref="H89:H90" si="33">($D$88+G89)*(1/3)</f>
        <v>4.2164888888888891E-2</v>
      </c>
      <c r="I89" s="9">
        <f t="shared" ref="I89:I96" si="34">(44/28)*H89*1000*0.01/1.865</f>
        <v>0.35527673518022046</v>
      </c>
      <c r="J89" s="9">
        <f>OR!R30</f>
        <v>3.4390961711131311E-2</v>
      </c>
      <c r="K89" s="9">
        <f t="shared" ref="K89:K96" si="35">I89+J89</f>
        <v>0.38966769689135178</v>
      </c>
      <c r="L89" s="9">
        <f t="shared" ref="L89:L96" si="36">K89*298*2.2*1.39*0.001*1000/44.06</f>
        <v>8.0594175554684195</v>
      </c>
      <c r="M89" s="123"/>
    </row>
    <row r="90" spans="1:13" ht="16" customHeight="1">
      <c r="A90" s="6">
        <v>3</v>
      </c>
      <c r="B90" s="124"/>
      <c r="C90" s="122"/>
      <c r="D90" s="122"/>
      <c r="E90" s="117" t="s">
        <v>119</v>
      </c>
      <c r="F90" s="9">
        <f>'Define amount of N in residue'!$D$11</f>
        <v>7.1750000000000007</v>
      </c>
      <c r="G90" s="9">
        <f>F90*'Define amount of N in residue'!$D$6</f>
        <v>9.1840000000000019E-2</v>
      </c>
      <c r="H90" s="9">
        <f t="shared" si="33"/>
        <v>5.2369333333333337E-2</v>
      </c>
      <c r="I90" s="9">
        <f t="shared" si="34"/>
        <v>0.44125826630920467</v>
      </c>
      <c r="J90" s="9">
        <f>OR!R39</f>
        <v>3.5417265137894713E-2</v>
      </c>
      <c r="K90" s="9">
        <f t="shared" si="35"/>
        <v>0.4766755314470994</v>
      </c>
      <c r="L90" s="9">
        <f t="shared" si="36"/>
        <v>9.8589828642587047</v>
      </c>
      <c r="M90" s="123"/>
    </row>
    <row r="91" spans="1:13" ht="16" customHeight="1">
      <c r="A91" s="6">
        <v>4</v>
      </c>
      <c r="B91" s="124" t="s">
        <v>92</v>
      </c>
      <c r="C91" s="116">
        <f>'Define amount of N in residue'!$B$10</f>
        <v>4.4099999999999993</v>
      </c>
      <c r="D91" s="116">
        <f>C91*2*'Define amount of N in residue'!$B$6</f>
        <v>0.13053599999999999</v>
      </c>
      <c r="E91" s="117" t="s">
        <v>118</v>
      </c>
      <c r="F91" s="9">
        <f>'Define amount of N in residue'!$D$9</f>
        <v>2.3916666666666671</v>
      </c>
      <c r="G91" s="9">
        <f>F91*'Define amount of N in residue'!$D$6</f>
        <v>3.061333333333334E-2</v>
      </c>
      <c r="H91" s="9">
        <f>($D$91+G91)*(1/3)</f>
        <v>5.3716444444444435E-2</v>
      </c>
      <c r="I91" s="9">
        <f t="shared" si="34"/>
        <v>0.45260887697348823</v>
      </c>
      <c r="J91" s="9">
        <f>OR!R48</f>
        <v>3.5552749706122933E-2</v>
      </c>
      <c r="K91" s="9">
        <f t="shared" si="35"/>
        <v>0.48816162667961116</v>
      </c>
      <c r="L91" s="9">
        <f t="shared" si="36"/>
        <v>10.09654743093742</v>
      </c>
      <c r="M91" s="123"/>
    </row>
    <row r="92" spans="1:13" ht="16" customHeight="1">
      <c r="A92" s="6">
        <v>5</v>
      </c>
      <c r="B92" s="124"/>
      <c r="C92" s="120"/>
      <c r="D92" s="120"/>
      <c r="E92" s="117" t="s">
        <v>92</v>
      </c>
      <c r="F92" s="9">
        <f>'Define amount of N in residue'!$D$10</f>
        <v>4.7833333333333341</v>
      </c>
      <c r="G92" s="9">
        <f>F92*'Define amount of N in residue'!$D$6</f>
        <v>6.1226666666666679E-2</v>
      </c>
      <c r="H92" s="9">
        <f t="shared" ref="H92:H93" si="37">($D$91+G92)*(1/3)</f>
        <v>6.3920888888888888E-2</v>
      </c>
      <c r="I92" s="9">
        <f t="shared" si="34"/>
        <v>0.53859040810247238</v>
      </c>
      <c r="J92" s="9">
        <f>OR!R57</f>
        <v>3.6579053132886327E-2</v>
      </c>
      <c r="K92" s="9">
        <f t="shared" si="35"/>
        <v>0.57516946123535873</v>
      </c>
      <c r="L92" s="9">
        <f t="shared" si="36"/>
        <v>11.896112739727705</v>
      </c>
      <c r="M92" s="123"/>
    </row>
    <row r="93" spans="1:13" ht="16" customHeight="1">
      <c r="A93" s="6">
        <v>6</v>
      </c>
      <c r="B93" s="124"/>
      <c r="C93" s="122"/>
      <c r="D93" s="122"/>
      <c r="E93" s="117" t="s">
        <v>119</v>
      </c>
      <c r="F93" s="9">
        <f>'Define amount of N in residue'!$D$11</f>
        <v>7.1750000000000007</v>
      </c>
      <c r="G93" s="9">
        <f>F93*'Define amount of N in residue'!$D$6</f>
        <v>9.1840000000000019E-2</v>
      </c>
      <c r="H93" s="9">
        <f t="shared" si="37"/>
        <v>7.4125333333333335E-2</v>
      </c>
      <c r="I93" s="9">
        <f t="shared" si="34"/>
        <v>0.62457193923145671</v>
      </c>
      <c r="J93" s="9">
        <f>OR!R66</f>
        <v>3.7605356559649722E-2</v>
      </c>
      <c r="K93" s="9">
        <f t="shared" si="35"/>
        <v>0.6621772957911064</v>
      </c>
      <c r="L93" s="9">
        <f t="shared" si="36"/>
        <v>13.695678048517989</v>
      </c>
      <c r="M93" s="123"/>
    </row>
    <row r="94" spans="1:13" ht="16" customHeight="1">
      <c r="A94" s="6">
        <v>7</v>
      </c>
      <c r="B94" s="124" t="s">
        <v>119</v>
      </c>
      <c r="C94" s="116">
        <f>'Define amount of N in residue'!$B$11</f>
        <v>6.6149999999999984</v>
      </c>
      <c r="D94" s="116">
        <f>C94*2*'Define amount of N in residue'!$B$6</f>
        <v>0.19580399999999995</v>
      </c>
      <c r="E94" s="117" t="s">
        <v>118</v>
      </c>
      <c r="F94" s="9">
        <f>'Define amount of N in residue'!$D$9</f>
        <v>2.3916666666666671</v>
      </c>
      <c r="G94" s="9">
        <f>F94*'Define amount of N in residue'!$D$6</f>
        <v>3.061333333333334E-2</v>
      </c>
      <c r="H94" s="9">
        <f>($D$94+G94)*(1/3)</f>
        <v>7.5472444444444425E-2</v>
      </c>
      <c r="I94" s="9">
        <f t="shared" si="34"/>
        <v>0.63592254989574004</v>
      </c>
      <c r="J94" s="9">
        <f>OR!R75</f>
        <v>3.7740841127877942E-2</v>
      </c>
      <c r="K94" s="9">
        <f t="shared" si="35"/>
        <v>0.67366339102361794</v>
      </c>
      <c r="L94" s="9">
        <f t="shared" si="36"/>
        <v>13.933242615196702</v>
      </c>
      <c r="M94" s="123"/>
    </row>
    <row r="95" spans="1:13" ht="16" customHeight="1">
      <c r="A95" s="6">
        <v>8</v>
      </c>
      <c r="B95" s="124"/>
      <c r="C95" s="120"/>
      <c r="D95" s="120"/>
      <c r="E95" s="117" t="s">
        <v>92</v>
      </c>
      <c r="F95" s="9">
        <f>'Define amount of N in residue'!$D$10</f>
        <v>4.7833333333333341</v>
      </c>
      <c r="G95" s="9">
        <f>F95*'Define amount of N in residue'!$D$6</f>
        <v>6.1226666666666679E-2</v>
      </c>
      <c r="H95" s="9">
        <f t="shared" ref="H95:H96" si="38">($D$94+G95)*(1/3)</f>
        <v>8.5676888888888872E-2</v>
      </c>
      <c r="I95" s="9">
        <f t="shared" si="34"/>
        <v>0.72190408102472436</v>
      </c>
      <c r="J95" s="9">
        <f>OR!R84</f>
        <v>3.8767144554641343E-2</v>
      </c>
      <c r="K95" s="9">
        <f t="shared" si="35"/>
        <v>0.76067122557936573</v>
      </c>
      <c r="L95" s="9">
        <f t="shared" si="36"/>
        <v>15.732807923986988</v>
      </c>
      <c r="M95" s="123"/>
    </row>
    <row r="96" spans="1:13" ht="16" customHeight="1">
      <c r="A96" s="6">
        <v>9</v>
      </c>
      <c r="B96" s="124"/>
      <c r="C96" s="122"/>
      <c r="D96" s="122"/>
      <c r="E96" s="117" t="s">
        <v>119</v>
      </c>
      <c r="F96" s="9">
        <f>'Define amount of N in residue'!$D$11</f>
        <v>7.1750000000000007</v>
      </c>
      <c r="G96" s="9">
        <f>F96*'Define amount of N in residue'!$D$6</f>
        <v>9.1840000000000019E-2</v>
      </c>
      <c r="H96" s="9">
        <f t="shared" si="38"/>
        <v>9.5881333333333318E-2</v>
      </c>
      <c r="I96" s="9">
        <f t="shared" si="34"/>
        <v>0.80788561215370858</v>
      </c>
      <c r="J96" s="9">
        <f>OR!R93</f>
        <v>3.9793447981404731E-2</v>
      </c>
      <c r="K96" s="9">
        <f t="shared" si="35"/>
        <v>0.84767906013511329</v>
      </c>
      <c r="L96" s="9">
        <f t="shared" si="36"/>
        <v>17.532373232777271</v>
      </c>
      <c r="M96" s="123"/>
    </row>
    <row r="99" spans="1:13" s="128" customFormat="1" ht="16" customHeight="1">
      <c r="A99" s="139" t="s">
        <v>3</v>
      </c>
      <c r="B99" s="132" t="s">
        <v>93</v>
      </c>
      <c r="C99" s="132"/>
      <c r="D99" s="132"/>
      <c r="E99" s="130" t="s">
        <v>95</v>
      </c>
      <c r="F99" s="130"/>
      <c r="G99" s="130"/>
      <c r="H99" s="140" t="s">
        <v>144</v>
      </c>
      <c r="I99" s="140" t="s">
        <v>140</v>
      </c>
      <c r="J99" s="140" t="s">
        <v>139</v>
      </c>
      <c r="K99" s="140" t="s">
        <v>138</v>
      </c>
      <c r="L99" s="140" t="s">
        <v>86</v>
      </c>
      <c r="M99" s="114"/>
    </row>
    <row r="100" spans="1:13" ht="30" customHeight="1">
      <c r="A100" s="139" t="s">
        <v>97</v>
      </c>
      <c r="B100" s="131" t="s">
        <v>94</v>
      </c>
      <c r="C100" s="131"/>
      <c r="D100" s="133" t="s">
        <v>143</v>
      </c>
      <c r="E100" s="134" t="s">
        <v>96</v>
      </c>
      <c r="F100" s="134"/>
      <c r="G100" s="135" t="s">
        <v>142</v>
      </c>
      <c r="H100" s="140"/>
      <c r="I100" s="140"/>
      <c r="J100" s="140"/>
      <c r="K100" s="140"/>
      <c r="L100" s="140"/>
      <c r="M100" s="114"/>
    </row>
    <row r="101" spans="1:13" ht="16" customHeight="1">
      <c r="A101" s="6">
        <v>1</v>
      </c>
      <c r="B101" s="124" t="s">
        <v>118</v>
      </c>
      <c r="C101" s="116">
        <f>'Define amount of N in residue'!$B$9</f>
        <v>2.2049999999999996</v>
      </c>
      <c r="D101" s="116">
        <f>C101*2*'Define amount of N in residue'!$B$6</f>
        <v>6.5267999999999993E-2</v>
      </c>
      <c r="E101" s="117" t="s">
        <v>118</v>
      </c>
      <c r="F101" s="9">
        <f>'Define amount of N in residue'!$D$9</f>
        <v>2.3916666666666671</v>
      </c>
      <c r="G101" s="9">
        <f>F101*'Define amount of N in residue'!$D$6</f>
        <v>3.061333333333334E-2</v>
      </c>
      <c r="H101" s="9">
        <f>($D$101+G101)*(1/3)</f>
        <v>3.1960444444444444E-2</v>
      </c>
      <c r="I101" s="9">
        <f>(44/28)*H101*1000*0.01/1.865</f>
        <v>0.26929520405123619</v>
      </c>
      <c r="J101" s="9">
        <f>SD!R21</f>
        <v>3.7444764603142555E-2</v>
      </c>
      <c r="K101" s="9">
        <f>I101+J101</f>
        <v>0.30673996865437875</v>
      </c>
      <c r="L101" s="9">
        <f>K101*298*2.2*1.39*0.001*1000/44.06</f>
        <v>6.3442402540907139</v>
      </c>
      <c r="M101" s="123"/>
    </row>
    <row r="102" spans="1:13" ht="16" customHeight="1">
      <c r="A102" s="6">
        <v>2</v>
      </c>
      <c r="B102" s="124"/>
      <c r="C102" s="120"/>
      <c r="D102" s="120"/>
      <c r="E102" s="117" t="s">
        <v>92</v>
      </c>
      <c r="F102" s="9">
        <f>'Define amount of N in residue'!$D$10</f>
        <v>4.7833333333333341</v>
      </c>
      <c r="G102" s="9">
        <f>F102*'Define amount of N in residue'!$D$6</f>
        <v>6.1226666666666679E-2</v>
      </c>
      <c r="H102" s="9">
        <f t="shared" ref="H102:H103" si="39">($D$101+G102)*(1/3)</f>
        <v>4.2164888888888891E-2</v>
      </c>
      <c r="I102" s="9">
        <f t="shared" ref="I102:I109" si="40">(44/28)*H102*1000*0.01/1.865</f>
        <v>0.35527673518022046</v>
      </c>
      <c r="J102" s="9">
        <f>SD!R30</f>
        <v>3.8341175329300821E-2</v>
      </c>
      <c r="K102" s="9">
        <f t="shared" ref="K102:K109" si="41">I102+J102</f>
        <v>0.39361791050952127</v>
      </c>
      <c r="L102" s="9">
        <f t="shared" ref="L102:L109" si="42">K102*298*2.2*1.39*0.001*1000/44.06</f>
        <v>8.1411190186282028</v>
      </c>
      <c r="M102" s="123"/>
    </row>
    <row r="103" spans="1:13" ht="16" customHeight="1">
      <c r="A103" s="6">
        <v>3</v>
      </c>
      <c r="B103" s="124"/>
      <c r="C103" s="122"/>
      <c r="D103" s="122"/>
      <c r="E103" s="117" t="s">
        <v>119</v>
      </c>
      <c r="F103" s="9">
        <f>'Define amount of N in residue'!$D$11</f>
        <v>7.1750000000000007</v>
      </c>
      <c r="G103" s="9">
        <f>F103*'Define amount of N in residue'!$D$6</f>
        <v>9.1840000000000019E-2</v>
      </c>
      <c r="H103" s="9">
        <f t="shared" si="39"/>
        <v>5.2369333333333337E-2</v>
      </c>
      <c r="I103" s="9">
        <f t="shared" si="40"/>
        <v>0.44125826630920467</v>
      </c>
      <c r="J103" s="9">
        <f>SD!R39</f>
        <v>3.9237586055459094E-2</v>
      </c>
      <c r="K103" s="9">
        <f t="shared" si="41"/>
        <v>0.48049585236466374</v>
      </c>
      <c r="L103" s="9">
        <f t="shared" si="42"/>
        <v>9.937997783165688</v>
      </c>
      <c r="M103" s="123"/>
    </row>
    <row r="104" spans="1:13" ht="16" customHeight="1">
      <c r="A104" s="6">
        <v>4</v>
      </c>
      <c r="B104" s="124" t="s">
        <v>92</v>
      </c>
      <c r="C104" s="116">
        <f>'Define amount of N in residue'!$B$10</f>
        <v>4.4099999999999993</v>
      </c>
      <c r="D104" s="116">
        <f>C104*2*'Define amount of N in residue'!$B$6</f>
        <v>0.13053599999999999</v>
      </c>
      <c r="E104" s="117" t="s">
        <v>118</v>
      </c>
      <c r="F104" s="9">
        <f>'Define amount of N in residue'!$D$9</f>
        <v>2.3916666666666671</v>
      </c>
      <c r="G104" s="9">
        <f>F104*'Define amount of N in residue'!$D$6</f>
        <v>3.061333333333334E-2</v>
      </c>
      <c r="H104" s="9">
        <f>($D$104+G104)*(1/3)</f>
        <v>5.3716444444444435E-2</v>
      </c>
      <c r="I104" s="9">
        <f t="shared" si="40"/>
        <v>0.45260887697348823</v>
      </c>
      <c r="J104" s="9">
        <f>SD!R48</f>
        <v>3.9355923203150109E-2</v>
      </c>
      <c r="K104" s="9">
        <f t="shared" si="41"/>
        <v>0.49196480017663835</v>
      </c>
      <c r="L104" s="9">
        <f t="shared" si="42"/>
        <v>10.175207693240303</v>
      </c>
      <c r="M104" s="123"/>
    </row>
    <row r="105" spans="1:13" ht="16" customHeight="1">
      <c r="A105" s="6">
        <v>5</v>
      </c>
      <c r="B105" s="124"/>
      <c r="C105" s="120"/>
      <c r="D105" s="120"/>
      <c r="E105" s="117" t="s">
        <v>92</v>
      </c>
      <c r="F105" s="9">
        <f>'Define amount of N in residue'!$D$10</f>
        <v>4.7833333333333341</v>
      </c>
      <c r="G105" s="9">
        <f>F105*'Define amount of N in residue'!$D$6</f>
        <v>6.1226666666666679E-2</v>
      </c>
      <c r="H105" s="9">
        <f t="shared" ref="H105:H106" si="43">($D$104+G105)*(1/3)</f>
        <v>6.3920888888888888E-2</v>
      </c>
      <c r="I105" s="9">
        <f t="shared" si="40"/>
        <v>0.53859040810247238</v>
      </c>
      <c r="J105" s="9">
        <f>SD!R57</f>
        <v>4.0252333929308375E-2</v>
      </c>
      <c r="K105" s="9">
        <f t="shared" si="41"/>
        <v>0.57884274203178077</v>
      </c>
      <c r="L105" s="9">
        <f t="shared" si="42"/>
        <v>11.97208645777779</v>
      </c>
      <c r="M105" s="123"/>
    </row>
    <row r="106" spans="1:13" ht="16" customHeight="1">
      <c r="A106" s="6">
        <v>6</v>
      </c>
      <c r="B106" s="124"/>
      <c r="C106" s="122"/>
      <c r="D106" s="122"/>
      <c r="E106" s="117" t="s">
        <v>119</v>
      </c>
      <c r="F106" s="9">
        <f>'Define amount of N in residue'!$D$11</f>
        <v>7.1750000000000007</v>
      </c>
      <c r="G106" s="9">
        <f>F106*'Define amount of N in residue'!$D$6</f>
        <v>9.1840000000000019E-2</v>
      </c>
      <c r="H106" s="9">
        <f t="shared" si="43"/>
        <v>7.4125333333333335E-2</v>
      </c>
      <c r="I106" s="9">
        <f t="shared" si="40"/>
        <v>0.62457193923145671</v>
      </c>
      <c r="J106" s="9">
        <f>SD!R66</f>
        <v>4.1148744655466647E-2</v>
      </c>
      <c r="K106" s="9">
        <f t="shared" si="41"/>
        <v>0.6657206838869234</v>
      </c>
      <c r="L106" s="9">
        <f t="shared" si="42"/>
        <v>13.768965222315279</v>
      </c>
      <c r="M106" s="123"/>
    </row>
    <row r="107" spans="1:13" ht="16" customHeight="1">
      <c r="A107" s="6">
        <v>7</v>
      </c>
      <c r="B107" s="124" t="s">
        <v>119</v>
      </c>
      <c r="C107" s="116">
        <f>'Define amount of N in residue'!$B$11</f>
        <v>6.6149999999999984</v>
      </c>
      <c r="D107" s="116">
        <f>C107*2*'Define amount of N in residue'!$B$6</f>
        <v>0.19580399999999995</v>
      </c>
      <c r="E107" s="117" t="s">
        <v>118</v>
      </c>
      <c r="F107" s="9">
        <f>'Define amount of N in residue'!$D$9</f>
        <v>2.3916666666666671</v>
      </c>
      <c r="G107" s="9">
        <f>F107*'Define amount of N in residue'!$D$6</f>
        <v>3.061333333333334E-2</v>
      </c>
      <c r="H107" s="9">
        <f>($D$107+G107)*(1/3)</f>
        <v>7.5472444444444425E-2</v>
      </c>
      <c r="I107" s="9">
        <f t="shared" si="40"/>
        <v>0.63592254989574004</v>
      </c>
      <c r="J107" s="9">
        <f>SD!R75</f>
        <v>4.1267081803157669E-2</v>
      </c>
      <c r="K107" s="9">
        <f t="shared" si="41"/>
        <v>0.67718963169889768</v>
      </c>
      <c r="L107" s="9">
        <f t="shared" si="42"/>
        <v>14.006175132389885</v>
      </c>
      <c r="M107" s="123"/>
    </row>
    <row r="108" spans="1:13" ht="16" customHeight="1">
      <c r="A108" s="6">
        <v>8</v>
      </c>
      <c r="B108" s="124"/>
      <c r="C108" s="120"/>
      <c r="D108" s="120"/>
      <c r="E108" s="117" t="s">
        <v>92</v>
      </c>
      <c r="F108" s="9">
        <f>'Define amount of N in residue'!$D$10</f>
        <v>4.7833333333333341</v>
      </c>
      <c r="G108" s="9">
        <f>F108*'Define amount of N in residue'!$D$6</f>
        <v>6.1226666666666679E-2</v>
      </c>
      <c r="H108" s="9">
        <f t="shared" ref="H108:H109" si="44">($D$107+G108)*(1/3)</f>
        <v>8.5676888888888872E-2</v>
      </c>
      <c r="I108" s="9">
        <f t="shared" si="40"/>
        <v>0.72190408102472436</v>
      </c>
      <c r="J108" s="9">
        <f>SD!R84</f>
        <v>4.2163492529315935E-2</v>
      </c>
      <c r="K108" s="9">
        <f t="shared" si="41"/>
        <v>0.76406757355404031</v>
      </c>
      <c r="L108" s="9">
        <f t="shared" si="42"/>
        <v>15.803053896927372</v>
      </c>
      <c r="M108" s="123"/>
    </row>
    <row r="109" spans="1:13" ht="16" customHeight="1">
      <c r="A109" s="6">
        <v>9</v>
      </c>
      <c r="B109" s="124"/>
      <c r="C109" s="122"/>
      <c r="D109" s="122"/>
      <c r="E109" s="117" t="s">
        <v>119</v>
      </c>
      <c r="F109" s="9">
        <f>'Define amount of N in residue'!$D$11</f>
        <v>7.1750000000000007</v>
      </c>
      <c r="G109" s="9">
        <f>F109*'Define amount of N in residue'!$D$6</f>
        <v>9.1840000000000019E-2</v>
      </c>
      <c r="H109" s="9">
        <f t="shared" si="44"/>
        <v>9.5881333333333318E-2</v>
      </c>
      <c r="I109" s="9">
        <f t="shared" si="40"/>
        <v>0.80788561215370858</v>
      </c>
      <c r="J109" s="9">
        <f>SD!R93</f>
        <v>4.3059903255474194E-2</v>
      </c>
      <c r="K109" s="9">
        <f t="shared" si="41"/>
        <v>0.85094551540918273</v>
      </c>
      <c r="L109" s="9">
        <f t="shared" si="42"/>
        <v>17.599932661464859</v>
      </c>
      <c r="M109" s="123"/>
    </row>
    <row r="112" spans="1:13" s="128" customFormat="1" ht="16" customHeight="1">
      <c r="A112" s="139" t="s">
        <v>8</v>
      </c>
      <c r="B112" s="132" t="s">
        <v>93</v>
      </c>
      <c r="C112" s="132"/>
      <c r="D112" s="132"/>
      <c r="E112" s="130" t="s">
        <v>95</v>
      </c>
      <c r="F112" s="130"/>
      <c r="G112" s="130"/>
      <c r="H112" s="140" t="s">
        <v>144</v>
      </c>
      <c r="I112" s="140" t="s">
        <v>140</v>
      </c>
      <c r="J112" s="140" t="s">
        <v>139</v>
      </c>
      <c r="K112" s="140" t="s">
        <v>138</v>
      </c>
      <c r="L112" s="140" t="s">
        <v>86</v>
      </c>
      <c r="M112" s="114"/>
    </row>
    <row r="113" spans="1:13" ht="30" customHeight="1">
      <c r="A113" s="139" t="s">
        <v>97</v>
      </c>
      <c r="B113" s="131" t="s">
        <v>94</v>
      </c>
      <c r="C113" s="131"/>
      <c r="D113" s="133" t="s">
        <v>143</v>
      </c>
      <c r="E113" s="134" t="s">
        <v>96</v>
      </c>
      <c r="F113" s="134"/>
      <c r="G113" s="135" t="s">
        <v>142</v>
      </c>
      <c r="H113" s="140"/>
      <c r="I113" s="140"/>
      <c r="J113" s="140"/>
      <c r="K113" s="140"/>
      <c r="L113" s="140"/>
      <c r="M113" s="114"/>
    </row>
    <row r="114" spans="1:13" ht="16" customHeight="1">
      <c r="A114" s="6">
        <v>1</v>
      </c>
      <c r="B114" s="124" t="s">
        <v>118</v>
      </c>
      <c r="C114" s="116">
        <f>'Define amount of N in residue'!$B$9</f>
        <v>2.2049999999999996</v>
      </c>
      <c r="D114" s="116">
        <f>C114*2*'Define amount of N in residue'!$B$6</f>
        <v>6.5267999999999993E-2</v>
      </c>
      <c r="E114" s="117" t="s">
        <v>118</v>
      </c>
      <c r="F114" s="9">
        <f>'Define amount of N in residue'!$D$9</f>
        <v>2.3916666666666671</v>
      </c>
      <c r="G114" s="9">
        <f>F114*'Define amount of N in residue'!$D$6</f>
        <v>3.061333333333334E-2</v>
      </c>
      <c r="H114" s="9">
        <f>($D$114+G114)*(1/3)</f>
        <v>3.1960444444444444E-2</v>
      </c>
      <c r="I114" s="9">
        <f>(44/28)*H114*1000*0.01/1.865</f>
        <v>0.26929520405123619</v>
      </c>
      <c r="J114" s="9">
        <f>TX!R21</f>
        <v>3.2794734279818959E-2</v>
      </c>
      <c r="K114" s="9">
        <f>I114+J114</f>
        <v>0.30208993833105513</v>
      </c>
      <c r="L114" s="9">
        <f>K114*298*2.2*1.39*0.001*1000/44.06</f>
        <v>6.2480646246499605</v>
      </c>
      <c r="M114" s="123"/>
    </row>
    <row r="115" spans="1:13" ht="16" customHeight="1">
      <c r="A115" s="6">
        <v>2</v>
      </c>
      <c r="B115" s="124"/>
      <c r="C115" s="120"/>
      <c r="D115" s="120"/>
      <c r="E115" s="117" t="s">
        <v>92</v>
      </c>
      <c r="F115" s="9">
        <f>'Define amount of N in residue'!$D$10</f>
        <v>4.7833333333333341</v>
      </c>
      <c r="G115" s="9">
        <f>F115*'Define amount of N in residue'!$D$6</f>
        <v>6.1226666666666679E-2</v>
      </c>
      <c r="H115" s="9">
        <f t="shared" ref="H115:H116" si="45">($D$114+G115)*(1/3)</f>
        <v>4.2164888888888891E-2</v>
      </c>
      <c r="I115" s="9">
        <f t="shared" ref="I115:I122" si="46">(44/28)*H115*1000*0.01/1.865</f>
        <v>0.35527673518022046</v>
      </c>
      <c r="J115" s="9">
        <f>TX!R30</f>
        <v>3.4095586398392622E-2</v>
      </c>
      <c r="K115" s="9">
        <f t="shared" ref="K115:K122" si="47">I115+J115</f>
        <v>0.38937232157861307</v>
      </c>
      <c r="L115" s="9">
        <f t="shared" ref="L115:L122" si="48">K115*298*2.2*1.39*0.001*1000/44.06</f>
        <v>8.0533083680763689</v>
      </c>
      <c r="M115" s="123"/>
    </row>
    <row r="116" spans="1:13" ht="16" customHeight="1">
      <c r="A116" s="6">
        <v>3</v>
      </c>
      <c r="B116" s="124"/>
      <c r="C116" s="122"/>
      <c r="D116" s="122"/>
      <c r="E116" s="117" t="s">
        <v>119</v>
      </c>
      <c r="F116" s="9">
        <f>'Define amount of N in residue'!$D$11</f>
        <v>7.1750000000000007</v>
      </c>
      <c r="G116" s="9">
        <f>F116*'Define amount of N in residue'!$D$6</f>
        <v>9.1840000000000019E-2</v>
      </c>
      <c r="H116" s="9">
        <f t="shared" si="45"/>
        <v>5.2369333333333337E-2</v>
      </c>
      <c r="I116" s="9">
        <f t="shared" si="46"/>
        <v>0.44125826630920467</v>
      </c>
      <c r="J116" s="9">
        <f>TX!R39</f>
        <v>3.5396438516966264E-2</v>
      </c>
      <c r="K116" s="9">
        <f t="shared" si="47"/>
        <v>0.47665470482617095</v>
      </c>
      <c r="L116" s="9">
        <f t="shared" si="48"/>
        <v>9.8585521115027781</v>
      </c>
      <c r="M116" s="123"/>
    </row>
    <row r="117" spans="1:13" ht="16" customHeight="1">
      <c r="A117" s="6">
        <v>4</v>
      </c>
      <c r="B117" s="124" t="s">
        <v>92</v>
      </c>
      <c r="C117" s="116">
        <f>'Define amount of N in residue'!$B$10</f>
        <v>4.4099999999999993</v>
      </c>
      <c r="D117" s="116">
        <f>C117*2*'Define amount of N in residue'!$B$6</f>
        <v>0.13053599999999999</v>
      </c>
      <c r="E117" s="117" t="s">
        <v>118</v>
      </c>
      <c r="F117" s="9">
        <f>'Define amount of N in residue'!$D$9</f>
        <v>2.3916666666666671</v>
      </c>
      <c r="G117" s="9">
        <f>F117*'Define amount of N in residue'!$D$6</f>
        <v>3.061333333333334E-2</v>
      </c>
      <c r="H117" s="9">
        <f>($D$117+G117)*(1/3)</f>
        <v>5.3716444444444435E-2</v>
      </c>
      <c r="I117" s="9">
        <f t="shared" si="46"/>
        <v>0.45260887697348823</v>
      </c>
      <c r="J117" s="9">
        <f>TX!R48</f>
        <v>3.5568166860668222E-2</v>
      </c>
      <c r="K117" s="9">
        <f t="shared" si="47"/>
        <v>0.48817704383415644</v>
      </c>
      <c r="L117" s="9">
        <f t="shared" si="48"/>
        <v>10.096866300802665</v>
      </c>
      <c r="M117" s="123"/>
    </row>
    <row r="118" spans="1:13" ht="16" customHeight="1">
      <c r="A118" s="6">
        <v>5</v>
      </c>
      <c r="B118" s="124"/>
      <c r="C118" s="120"/>
      <c r="D118" s="120"/>
      <c r="E118" s="117" t="s">
        <v>92</v>
      </c>
      <c r="F118" s="9">
        <f>'Define amount of N in residue'!$D$10</f>
        <v>4.7833333333333341</v>
      </c>
      <c r="G118" s="9">
        <f>F118*'Define amount of N in residue'!$D$6</f>
        <v>6.1226666666666679E-2</v>
      </c>
      <c r="H118" s="9">
        <f t="shared" ref="H118:H119" si="49">($D$117+G118)*(1/3)</f>
        <v>6.3920888888888888E-2</v>
      </c>
      <c r="I118" s="9">
        <f t="shared" si="46"/>
        <v>0.53859040810247238</v>
      </c>
      <c r="J118" s="9">
        <f>TX!R57</f>
        <v>3.6869018979241878E-2</v>
      </c>
      <c r="K118" s="9">
        <f t="shared" si="47"/>
        <v>0.57545942708171427</v>
      </c>
      <c r="L118" s="9">
        <f t="shared" si="48"/>
        <v>11.902110044229069</v>
      </c>
      <c r="M118" s="123"/>
    </row>
    <row r="119" spans="1:13" ht="16" customHeight="1">
      <c r="A119" s="6">
        <v>6</v>
      </c>
      <c r="B119" s="124"/>
      <c r="C119" s="122"/>
      <c r="D119" s="122"/>
      <c r="E119" s="117" t="s">
        <v>119</v>
      </c>
      <c r="F119" s="9">
        <f>'Define amount of N in residue'!$D$11</f>
        <v>7.1750000000000007</v>
      </c>
      <c r="G119" s="9">
        <f>F119*'Define amount of N in residue'!$D$6</f>
        <v>9.1840000000000019E-2</v>
      </c>
      <c r="H119" s="9">
        <f t="shared" si="49"/>
        <v>7.4125333333333335E-2</v>
      </c>
      <c r="I119" s="9">
        <f t="shared" si="46"/>
        <v>0.62457193923145671</v>
      </c>
      <c r="J119" s="9">
        <f>TX!R66</f>
        <v>3.8169871097815528E-2</v>
      </c>
      <c r="K119" s="9">
        <f t="shared" si="47"/>
        <v>0.66274181032927226</v>
      </c>
      <c r="L119" s="9">
        <f t="shared" si="48"/>
        <v>13.707353787655483</v>
      </c>
      <c r="M119" s="123"/>
    </row>
    <row r="120" spans="1:13" ht="16" customHeight="1">
      <c r="A120" s="6">
        <v>7</v>
      </c>
      <c r="B120" s="124" t="s">
        <v>119</v>
      </c>
      <c r="C120" s="116">
        <f>'Define amount of N in residue'!$B$11</f>
        <v>6.6149999999999984</v>
      </c>
      <c r="D120" s="116">
        <f>C120*2*'Define amount of N in residue'!$B$6</f>
        <v>0.19580399999999995</v>
      </c>
      <c r="E120" s="117" t="s">
        <v>118</v>
      </c>
      <c r="F120" s="9">
        <f>'Define amount of N in residue'!$D$9</f>
        <v>2.3916666666666671</v>
      </c>
      <c r="G120" s="9">
        <f>F120*'Define amount of N in residue'!$D$6</f>
        <v>3.061333333333334E-2</v>
      </c>
      <c r="H120" s="9">
        <f>($D$120+G120)*(1/3)</f>
        <v>7.5472444444444425E-2</v>
      </c>
      <c r="I120" s="9">
        <f t="shared" si="46"/>
        <v>0.63592254989574004</v>
      </c>
      <c r="J120" s="9">
        <f>TX!R75</f>
        <v>3.8341599441517479E-2</v>
      </c>
      <c r="K120" s="9">
        <f t="shared" si="47"/>
        <v>0.67426414933725753</v>
      </c>
      <c r="L120" s="9">
        <f t="shared" si="48"/>
        <v>13.945667976955365</v>
      </c>
      <c r="M120" s="123"/>
    </row>
    <row r="121" spans="1:13" ht="16" customHeight="1">
      <c r="A121" s="6">
        <v>8</v>
      </c>
      <c r="B121" s="124"/>
      <c r="C121" s="120"/>
      <c r="D121" s="120"/>
      <c r="E121" s="117" t="s">
        <v>92</v>
      </c>
      <c r="F121" s="9">
        <f>'Define amount of N in residue'!$D$10</f>
        <v>4.7833333333333341</v>
      </c>
      <c r="G121" s="9">
        <f>F121*'Define amount of N in residue'!$D$6</f>
        <v>6.1226666666666679E-2</v>
      </c>
      <c r="H121" s="9">
        <f t="shared" ref="H121:H122" si="50">($D$120+G121)*(1/3)</f>
        <v>8.5676888888888872E-2</v>
      </c>
      <c r="I121" s="9">
        <f t="shared" si="46"/>
        <v>0.72190408102472436</v>
      </c>
      <c r="J121" s="9">
        <f>TX!R84</f>
        <v>3.9642451560091135E-2</v>
      </c>
      <c r="K121" s="9">
        <f t="shared" si="47"/>
        <v>0.76154653258481553</v>
      </c>
      <c r="L121" s="9">
        <f t="shared" si="48"/>
        <v>15.750911720381776</v>
      </c>
      <c r="M121" s="123"/>
    </row>
    <row r="122" spans="1:13" ht="16" customHeight="1">
      <c r="A122" s="6">
        <v>9</v>
      </c>
      <c r="B122" s="124"/>
      <c r="C122" s="122"/>
      <c r="D122" s="122"/>
      <c r="E122" s="117" t="s">
        <v>119</v>
      </c>
      <c r="F122" s="9">
        <f>'Define amount of N in residue'!$D$11</f>
        <v>7.1750000000000007</v>
      </c>
      <c r="G122" s="9">
        <f>F122*'Define amount of N in residue'!$D$6</f>
        <v>9.1840000000000019E-2</v>
      </c>
      <c r="H122" s="9">
        <f t="shared" si="50"/>
        <v>9.5881333333333318E-2</v>
      </c>
      <c r="I122" s="9">
        <f t="shared" si="46"/>
        <v>0.80788561215370858</v>
      </c>
      <c r="J122" s="9">
        <f>TX!R93</f>
        <v>4.0943303678664791E-2</v>
      </c>
      <c r="K122" s="9">
        <f t="shared" si="47"/>
        <v>0.84882891583237341</v>
      </c>
      <c r="L122" s="9">
        <f t="shared" si="48"/>
        <v>17.556155463808182</v>
      </c>
      <c r="M122" s="123"/>
    </row>
    <row r="125" spans="1:13" s="128" customFormat="1" ht="16" customHeight="1">
      <c r="A125" s="139" t="s">
        <v>0</v>
      </c>
      <c r="B125" s="132" t="s">
        <v>93</v>
      </c>
      <c r="C125" s="132"/>
      <c r="D125" s="132"/>
      <c r="E125" s="130" t="s">
        <v>95</v>
      </c>
      <c r="F125" s="130"/>
      <c r="G125" s="130"/>
      <c r="H125" s="140" t="s">
        <v>144</v>
      </c>
      <c r="I125" s="140" t="s">
        <v>140</v>
      </c>
      <c r="J125" s="140" t="s">
        <v>139</v>
      </c>
      <c r="K125" s="140" t="s">
        <v>138</v>
      </c>
      <c r="L125" s="140" t="s">
        <v>86</v>
      </c>
      <c r="M125" s="114"/>
    </row>
    <row r="126" spans="1:13" ht="30" customHeight="1">
      <c r="A126" s="139" t="s">
        <v>97</v>
      </c>
      <c r="B126" s="131" t="s">
        <v>94</v>
      </c>
      <c r="C126" s="131"/>
      <c r="D126" s="133" t="s">
        <v>143</v>
      </c>
      <c r="E126" s="134" t="s">
        <v>96</v>
      </c>
      <c r="F126" s="134"/>
      <c r="G126" s="135" t="s">
        <v>142</v>
      </c>
      <c r="H126" s="140"/>
      <c r="I126" s="140"/>
      <c r="J126" s="140"/>
      <c r="K126" s="140"/>
      <c r="L126" s="140"/>
      <c r="M126" s="114"/>
    </row>
    <row r="127" spans="1:13" ht="16" customHeight="1">
      <c r="A127" s="6">
        <v>1</v>
      </c>
      <c r="B127" s="124" t="s">
        <v>118</v>
      </c>
      <c r="C127" s="116">
        <f>'Define amount of N in residue'!$B$9</f>
        <v>2.2049999999999996</v>
      </c>
      <c r="D127" s="116">
        <f>C127*2*'Define amount of N in residue'!$B$6</f>
        <v>6.5267999999999993E-2</v>
      </c>
      <c r="E127" s="117" t="s">
        <v>118</v>
      </c>
      <c r="F127" s="9">
        <f>'Define amount of N in residue'!$D$9</f>
        <v>2.3916666666666671</v>
      </c>
      <c r="G127" s="9">
        <f>F127*'Define amount of N in residue'!$D$6</f>
        <v>3.061333333333334E-2</v>
      </c>
      <c r="H127" s="9">
        <f>($D$127+G127)*(1/3)</f>
        <v>3.1960444444444444E-2</v>
      </c>
      <c r="I127" s="9">
        <f>(44/28)*H127*1000*0.01/1.865</f>
        <v>0.26929520405123619</v>
      </c>
      <c r="J127" s="9">
        <f>WA!R21</f>
        <v>3.5162672845571438E-2</v>
      </c>
      <c r="K127" s="9">
        <f>I127+J127</f>
        <v>0.30445787689680764</v>
      </c>
      <c r="L127" s="9">
        <f>K127*298*2.2*1.39*0.001*1000/44.06</f>
        <v>6.2970402153887983</v>
      </c>
      <c r="M127" s="123"/>
    </row>
    <row r="128" spans="1:13" ht="16" customHeight="1">
      <c r="A128" s="6">
        <v>2</v>
      </c>
      <c r="B128" s="124"/>
      <c r="C128" s="120"/>
      <c r="D128" s="120"/>
      <c r="E128" s="117" t="s">
        <v>92</v>
      </c>
      <c r="F128" s="9">
        <f>'Define amount of N in residue'!$D$10</f>
        <v>4.7833333333333341</v>
      </c>
      <c r="G128" s="9">
        <f>F128*'Define amount of N in residue'!$D$6</f>
        <v>6.1226666666666679E-2</v>
      </c>
      <c r="H128" s="9">
        <f t="shared" ref="H128:H129" si="51">($D$127+G128)*(1/3)</f>
        <v>4.2164888888888891E-2</v>
      </c>
      <c r="I128" s="9">
        <f t="shared" ref="I128:I135" si="52">(44/28)*H128*1000*0.01/1.865</f>
        <v>0.35527673518022046</v>
      </c>
      <c r="J128" s="9">
        <f>WA!R30</f>
        <v>3.6591772270958577E-2</v>
      </c>
      <c r="K128" s="9">
        <f t="shared" ref="K128:K135" si="53">I128+J128</f>
        <v>0.39186850745117902</v>
      </c>
      <c r="L128" s="9">
        <f t="shared" ref="L128:L135" si="54">K128*298*2.2*1.39*0.001*1000/44.06</f>
        <v>8.1049364717235637</v>
      </c>
      <c r="M128" s="123"/>
    </row>
    <row r="129" spans="1:13" ht="16" customHeight="1">
      <c r="A129" s="6">
        <v>3</v>
      </c>
      <c r="B129" s="124"/>
      <c r="C129" s="122"/>
      <c r="D129" s="122"/>
      <c r="E129" s="117" t="s">
        <v>119</v>
      </c>
      <c r="F129" s="9">
        <f>'Define amount of N in residue'!$D$11</f>
        <v>7.1750000000000007</v>
      </c>
      <c r="G129" s="9">
        <f>F129*'Define amount of N in residue'!$D$6</f>
        <v>9.1840000000000019E-2</v>
      </c>
      <c r="H129" s="9">
        <f t="shared" si="51"/>
        <v>5.2369333333333337E-2</v>
      </c>
      <c r="I129" s="9">
        <f t="shared" si="52"/>
        <v>0.44125826630920467</v>
      </c>
      <c r="J129" s="9">
        <f>WA!R39</f>
        <v>3.8020871696345729E-2</v>
      </c>
      <c r="K129" s="9">
        <f t="shared" si="53"/>
        <v>0.47927913800555039</v>
      </c>
      <c r="L129" s="9">
        <f t="shared" si="54"/>
        <v>9.9128327280583264</v>
      </c>
      <c r="M129" s="123"/>
    </row>
    <row r="130" spans="1:13" ht="16" customHeight="1">
      <c r="A130" s="6">
        <v>4</v>
      </c>
      <c r="B130" s="124" t="s">
        <v>92</v>
      </c>
      <c r="C130" s="116">
        <f>'Define amount of N in residue'!$B$10</f>
        <v>4.4099999999999993</v>
      </c>
      <c r="D130" s="116">
        <f>C130*2*'Define amount of N in residue'!$B$6</f>
        <v>0.13053599999999999</v>
      </c>
      <c r="E130" s="117" t="s">
        <v>118</v>
      </c>
      <c r="F130" s="9">
        <f>'Define amount of N in residue'!$D$9</f>
        <v>2.3916666666666671</v>
      </c>
      <c r="G130" s="9">
        <f>F130*'Define amount of N in residue'!$D$6</f>
        <v>3.061333333333334E-2</v>
      </c>
      <c r="H130" s="9">
        <f>($D$130+G130)*(1/3)</f>
        <v>5.3716444444444435E-2</v>
      </c>
      <c r="I130" s="9">
        <f t="shared" si="52"/>
        <v>0.45260887697348823</v>
      </c>
      <c r="J130" s="9">
        <f>WA!R48</f>
        <v>3.8209530248538612E-2</v>
      </c>
      <c r="K130" s="9">
        <f t="shared" si="53"/>
        <v>0.49081840722202685</v>
      </c>
      <c r="L130" s="9">
        <f t="shared" si="54"/>
        <v>10.15149708140984</v>
      </c>
      <c r="M130" s="123"/>
    </row>
    <row r="131" spans="1:13" ht="16" customHeight="1">
      <c r="A131" s="6">
        <v>5</v>
      </c>
      <c r="B131" s="124"/>
      <c r="C131" s="120"/>
      <c r="D131" s="120"/>
      <c r="E131" s="117" t="s">
        <v>92</v>
      </c>
      <c r="F131" s="9">
        <f>'Define amount of N in residue'!$D$10</f>
        <v>4.7833333333333341</v>
      </c>
      <c r="G131" s="9">
        <f>F131*'Define amount of N in residue'!$D$6</f>
        <v>6.1226666666666679E-2</v>
      </c>
      <c r="H131" s="9">
        <f t="shared" ref="H131:H132" si="55">($D$130+G131)*(1/3)</f>
        <v>6.3920888888888888E-2</v>
      </c>
      <c r="I131" s="9">
        <f t="shared" si="52"/>
        <v>0.53859040810247238</v>
      </c>
      <c r="J131" s="9">
        <f>WA!R57</f>
        <v>3.963862967392575E-2</v>
      </c>
      <c r="K131" s="9">
        <f t="shared" si="53"/>
        <v>0.57822903777639811</v>
      </c>
      <c r="L131" s="9">
        <f t="shared" si="54"/>
        <v>11.959393337744602</v>
      </c>
      <c r="M131" s="123"/>
    </row>
    <row r="132" spans="1:13" ht="16" customHeight="1">
      <c r="A132" s="6">
        <v>6</v>
      </c>
      <c r="B132" s="124"/>
      <c r="C132" s="122"/>
      <c r="D132" s="122"/>
      <c r="E132" s="117" t="s">
        <v>119</v>
      </c>
      <c r="F132" s="9">
        <f>'Define amount of N in residue'!$D$11</f>
        <v>7.1750000000000007</v>
      </c>
      <c r="G132" s="9">
        <f>F132*'Define amount of N in residue'!$D$6</f>
        <v>9.1840000000000019E-2</v>
      </c>
      <c r="H132" s="9">
        <f t="shared" si="55"/>
        <v>7.4125333333333335E-2</v>
      </c>
      <c r="I132" s="9">
        <f t="shared" si="52"/>
        <v>0.62457193923145671</v>
      </c>
      <c r="J132" s="9">
        <f>WA!R66</f>
        <v>4.1067729099312902E-2</v>
      </c>
      <c r="K132" s="9">
        <f t="shared" si="53"/>
        <v>0.6656396683307696</v>
      </c>
      <c r="L132" s="9">
        <f t="shared" si="54"/>
        <v>13.76728959407937</v>
      </c>
      <c r="M132" s="123"/>
    </row>
    <row r="133" spans="1:13" ht="16" customHeight="1">
      <c r="A133" s="6">
        <v>7</v>
      </c>
      <c r="B133" s="124" t="s">
        <v>119</v>
      </c>
      <c r="C133" s="116">
        <f>'Define amount of N in residue'!$B$11</f>
        <v>6.6149999999999984</v>
      </c>
      <c r="D133" s="116">
        <f>C133*2*'Define amount of N in residue'!$B$6</f>
        <v>0.19580399999999995</v>
      </c>
      <c r="E133" s="117" t="s">
        <v>118</v>
      </c>
      <c r="F133" s="9">
        <f>'Define amount of N in residue'!$D$9</f>
        <v>2.3916666666666671</v>
      </c>
      <c r="G133" s="9">
        <f>F133*'Define amount of N in residue'!$D$6</f>
        <v>3.061333333333334E-2</v>
      </c>
      <c r="H133" s="9">
        <f>($D$133+G133)*(1/3)</f>
        <v>7.5472444444444425E-2</v>
      </c>
      <c r="I133" s="9">
        <f t="shared" si="52"/>
        <v>0.63592254989574004</v>
      </c>
      <c r="J133" s="9">
        <f>WA!R75</f>
        <v>4.1256387651505778E-2</v>
      </c>
      <c r="K133" s="9">
        <f t="shared" si="53"/>
        <v>0.67717893754724579</v>
      </c>
      <c r="L133" s="9">
        <f t="shared" si="54"/>
        <v>14.005953947430873</v>
      </c>
      <c r="M133" s="123"/>
    </row>
    <row r="134" spans="1:13" ht="16" customHeight="1">
      <c r="A134" s="6">
        <v>8</v>
      </c>
      <c r="B134" s="124"/>
      <c r="C134" s="120"/>
      <c r="D134" s="120"/>
      <c r="E134" s="117" t="s">
        <v>92</v>
      </c>
      <c r="F134" s="9">
        <f>'Define amount of N in residue'!$D$10</f>
        <v>4.7833333333333341</v>
      </c>
      <c r="G134" s="9">
        <f>F134*'Define amount of N in residue'!$D$6</f>
        <v>6.1226666666666679E-2</v>
      </c>
      <c r="H134" s="9">
        <f t="shared" ref="H134:H135" si="56">($D$133+G134)*(1/3)</f>
        <v>8.5676888888888872E-2</v>
      </c>
      <c r="I134" s="9">
        <f t="shared" si="52"/>
        <v>0.72190408102472436</v>
      </c>
      <c r="J134" s="9">
        <f>WA!R84</f>
        <v>4.2685487076892924E-2</v>
      </c>
      <c r="K134" s="9">
        <f t="shared" si="53"/>
        <v>0.76458956810161727</v>
      </c>
      <c r="L134" s="9">
        <f t="shared" si="54"/>
        <v>15.813850203765641</v>
      </c>
      <c r="M134" s="123"/>
    </row>
    <row r="135" spans="1:13" ht="16" customHeight="1">
      <c r="A135" s="6">
        <v>9</v>
      </c>
      <c r="B135" s="124"/>
      <c r="C135" s="122"/>
      <c r="D135" s="122"/>
      <c r="E135" s="117" t="s">
        <v>119</v>
      </c>
      <c r="F135" s="9">
        <f>'Define amount of N in residue'!$D$11</f>
        <v>7.1750000000000007</v>
      </c>
      <c r="G135" s="9">
        <f>F135*'Define amount of N in residue'!$D$6</f>
        <v>9.1840000000000019E-2</v>
      </c>
      <c r="H135" s="9">
        <f t="shared" si="56"/>
        <v>9.5881333333333318E-2</v>
      </c>
      <c r="I135" s="9">
        <f t="shared" si="52"/>
        <v>0.80788561215370858</v>
      </c>
      <c r="J135" s="9">
        <f>WA!R93</f>
        <v>4.4114586502280076E-2</v>
      </c>
      <c r="K135" s="9">
        <f t="shared" si="53"/>
        <v>0.85200019865598864</v>
      </c>
      <c r="L135" s="9">
        <f t="shared" si="54"/>
        <v>17.621746460100407</v>
      </c>
      <c r="M135" s="123"/>
    </row>
    <row r="139" spans="1:13" ht="16" customHeight="1">
      <c r="B139" s="114"/>
      <c r="C139" s="114"/>
      <c r="D139" s="114"/>
      <c r="E139" s="114"/>
      <c r="F139" s="114"/>
    </row>
    <row r="140" spans="1:13" ht="16" customHeight="1">
      <c r="E140" s="114"/>
      <c r="F140" s="114"/>
    </row>
    <row r="141" spans="1:13" ht="16" customHeight="1">
      <c r="H141" s="118"/>
      <c r="I141" s="125"/>
      <c r="J141" s="125"/>
      <c r="K141" s="123"/>
      <c r="L141" s="126"/>
      <c r="M141" s="123"/>
    </row>
    <row r="142" spans="1:13" ht="16" customHeight="1">
      <c r="H142" s="118"/>
      <c r="I142" s="125"/>
      <c r="J142" s="125"/>
      <c r="K142" s="123"/>
      <c r="L142" s="126"/>
      <c r="M142" s="123"/>
    </row>
    <row r="143" spans="1:13" ht="16" customHeight="1">
      <c r="H143" s="118"/>
      <c r="I143" s="125"/>
      <c r="J143" s="125"/>
      <c r="K143" s="123"/>
      <c r="L143" s="126"/>
      <c r="M143" s="123"/>
    </row>
    <row r="144" spans="1:13" ht="16" customHeight="1">
      <c r="H144" s="118"/>
      <c r="I144" s="125"/>
      <c r="J144" s="125"/>
      <c r="K144" s="123"/>
      <c r="L144" s="126"/>
      <c r="M144" s="123"/>
    </row>
    <row r="145" spans="8:13" ht="16" customHeight="1">
      <c r="H145" s="118"/>
      <c r="I145" s="125"/>
      <c r="J145" s="125"/>
      <c r="K145" s="123"/>
      <c r="L145" s="126"/>
      <c r="M145" s="123"/>
    </row>
    <row r="146" spans="8:13" ht="16" customHeight="1">
      <c r="H146" s="118"/>
      <c r="I146" s="125"/>
      <c r="J146" s="125"/>
      <c r="K146" s="123"/>
      <c r="L146" s="126"/>
      <c r="M146" s="123"/>
    </row>
    <row r="147" spans="8:13" ht="16" customHeight="1">
      <c r="H147" s="118"/>
      <c r="I147" s="123"/>
      <c r="J147" s="125"/>
      <c r="K147" s="125"/>
      <c r="L147" s="123"/>
      <c r="M147" s="126"/>
    </row>
    <row r="148" spans="8:13" ht="16" customHeight="1">
      <c r="H148" s="118"/>
      <c r="I148" s="123"/>
      <c r="J148" s="125"/>
      <c r="K148" s="125"/>
      <c r="L148" s="123"/>
      <c r="M148" s="126"/>
    </row>
    <row r="149" spans="8:13" ht="16" customHeight="1">
      <c r="H149" s="118"/>
      <c r="I149" s="123"/>
      <c r="J149" s="125"/>
      <c r="K149" s="125"/>
      <c r="L149" s="123"/>
      <c r="M149" s="126"/>
    </row>
  </sheetData>
  <mergeCells count="192">
    <mergeCell ref="L86:L87"/>
    <mergeCell ref="M86:M87"/>
    <mergeCell ref="L99:L100"/>
    <mergeCell ref="M99:M100"/>
    <mergeCell ref="L112:L113"/>
    <mergeCell ref="M112:M113"/>
    <mergeCell ref="L125:L126"/>
    <mergeCell ref="M125:M126"/>
    <mergeCell ref="M21:M22"/>
    <mergeCell ref="L34:L35"/>
    <mergeCell ref="M34:M35"/>
    <mergeCell ref="L47:L48"/>
    <mergeCell ref="M47:M48"/>
    <mergeCell ref="L60:L61"/>
    <mergeCell ref="M60:M61"/>
    <mergeCell ref="L73:L74"/>
    <mergeCell ref="M73:M74"/>
    <mergeCell ref="E35:F35"/>
    <mergeCell ref="E48:F48"/>
    <mergeCell ref="E61:F61"/>
    <mergeCell ref="E74:F74"/>
    <mergeCell ref="E87:F87"/>
    <mergeCell ref="E47:G47"/>
    <mergeCell ref="E60:G60"/>
    <mergeCell ref="E73:G73"/>
    <mergeCell ref="E86:G86"/>
    <mergeCell ref="E113:F113"/>
    <mergeCell ref="E126:F126"/>
    <mergeCell ref="B139:F139"/>
    <mergeCell ref="E140:F140"/>
    <mergeCell ref="E125:G125"/>
    <mergeCell ref="B113:C113"/>
    <mergeCell ref="B126:C126"/>
    <mergeCell ref="B114:B116"/>
    <mergeCell ref="C114:C116"/>
    <mergeCell ref="D114:D116"/>
    <mergeCell ref="B117:B119"/>
    <mergeCell ref="C117:C119"/>
    <mergeCell ref="D117:D119"/>
    <mergeCell ref="B120:B122"/>
    <mergeCell ref="C120:C122"/>
    <mergeCell ref="D120:D122"/>
    <mergeCell ref="B125:D125"/>
    <mergeCell ref="B35:C35"/>
    <mergeCell ref="B48:C48"/>
    <mergeCell ref="B61:C61"/>
    <mergeCell ref="B74:C74"/>
    <mergeCell ref="B60:D60"/>
    <mergeCell ref="B73:D73"/>
    <mergeCell ref="B99:D99"/>
    <mergeCell ref="B39:B41"/>
    <mergeCell ref="C39:C41"/>
    <mergeCell ref="D39:D41"/>
    <mergeCell ref="B42:B44"/>
    <mergeCell ref="C42:C44"/>
    <mergeCell ref="D42:D44"/>
    <mergeCell ref="B9:C9"/>
    <mergeCell ref="B22:C22"/>
    <mergeCell ref="B23:B25"/>
    <mergeCell ref="C23:C25"/>
    <mergeCell ref="D23:D25"/>
    <mergeCell ref="B26:B28"/>
    <mergeCell ref="C26:C28"/>
    <mergeCell ref="D26:D28"/>
    <mergeCell ref="B47:D47"/>
    <mergeCell ref="E99:G99"/>
    <mergeCell ref="B112:D112"/>
    <mergeCell ref="E112:G112"/>
    <mergeCell ref="B87:C87"/>
    <mergeCell ref="B100:C100"/>
    <mergeCell ref="E100:F100"/>
    <mergeCell ref="B91:B93"/>
    <mergeCell ref="C91:C93"/>
    <mergeCell ref="D91:D93"/>
    <mergeCell ref="B94:B96"/>
    <mergeCell ref="C94:C96"/>
    <mergeCell ref="D94:D96"/>
    <mergeCell ref="B101:B103"/>
    <mergeCell ref="C101:C103"/>
    <mergeCell ref="D101:D103"/>
    <mergeCell ref="B104:B106"/>
    <mergeCell ref="L8:L9"/>
    <mergeCell ref="M8:M9"/>
    <mergeCell ref="H21:H22"/>
    <mergeCell ref="I21:I22"/>
    <mergeCell ref="J21:J22"/>
    <mergeCell ref="K21:K22"/>
    <mergeCell ref="L21:L22"/>
    <mergeCell ref="H8:H9"/>
    <mergeCell ref="I8:I9"/>
    <mergeCell ref="J8:J9"/>
    <mergeCell ref="K8:K9"/>
    <mergeCell ref="B29:B31"/>
    <mergeCell ref="C29:C31"/>
    <mergeCell ref="D29:D31"/>
    <mergeCell ref="B36:B38"/>
    <mergeCell ref="C36:C38"/>
    <mergeCell ref="D36:D38"/>
    <mergeCell ref="B10:B12"/>
    <mergeCell ref="B13:B15"/>
    <mergeCell ref="B16:B18"/>
    <mergeCell ref="C10:C12"/>
    <mergeCell ref="C13:C15"/>
    <mergeCell ref="C16:C18"/>
    <mergeCell ref="D10:D12"/>
    <mergeCell ref="D13:D15"/>
    <mergeCell ref="D16:D18"/>
    <mergeCell ref="E8:G8"/>
    <mergeCell ref="B21:D21"/>
    <mergeCell ref="E21:G21"/>
    <mergeCell ref="B34:D34"/>
    <mergeCell ref="E34:G34"/>
    <mergeCell ref="E9:F9"/>
    <mergeCell ref="E22:F22"/>
    <mergeCell ref="B8:D8"/>
    <mergeCell ref="B55:B57"/>
    <mergeCell ref="C55:C57"/>
    <mergeCell ref="D55:D57"/>
    <mergeCell ref="B62:B64"/>
    <mergeCell ref="C62:C64"/>
    <mergeCell ref="D62:D64"/>
    <mergeCell ref="B49:B51"/>
    <mergeCell ref="C49:C51"/>
    <mergeCell ref="D49:D51"/>
    <mergeCell ref="B52:B54"/>
    <mergeCell ref="C52:C54"/>
    <mergeCell ref="D52:D54"/>
    <mergeCell ref="B75:B77"/>
    <mergeCell ref="C75:C77"/>
    <mergeCell ref="D75:D77"/>
    <mergeCell ref="B78:B80"/>
    <mergeCell ref="C78:C80"/>
    <mergeCell ref="D78:D80"/>
    <mergeCell ref="B65:B67"/>
    <mergeCell ref="C65:C67"/>
    <mergeCell ref="D65:D67"/>
    <mergeCell ref="B68:B70"/>
    <mergeCell ref="C68:C70"/>
    <mergeCell ref="D68:D70"/>
    <mergeCell ref="C104:C106"/>
    <mergeCell ref="D104:D106"/>
    <mergeCell ref="B107:B109"/>
    <mergeCell ref="C107:C109"/>
    <mergeCell ref="D107:D109"/>
    <mergeCell ref="B81:B83"/>
    <mergeCell ref="C81:C83"/>
    <mergeCell ref="D81:D83"/>
    <mergeCell ref="B88:B90"/>
    <mergeCell ref="C88:C90"/>
    <mergeCell ref="D88:D90"/>
    <mergeCell ref="B86:D86"/>
    <mergeCell ref="B133:B135"/>
    <mergeCell ref="C133:C135"/>
    <mergeCell ref="D133:D135"/>
    <mergeCell ref="B127:B129"/>
    <mergeCell ref="C127:C129"/>
    <mergeCell ref="D127:D129"/>
    <mergeCell ref="B130:B132"/>
    <mergeCell ref="C130:C132"/>
    <mergeCell ref="D130:D132"/>
    <mergeCell ref="H60:H61"/>
    <mergeCell ref="I60:I61"/>
    <mergeCell ref="J60:J61"/>
    <mergeCell ref="K60:K61"/>
    <mergeCell ref="H73:H74"/>
    <mergeCell ref="I73:I74"/>
    <mergeCell ref="J73:J74"/>
    <mergeCell ref="K73:K74"/>
    <mergeCell ref="H34:H35"/>
    <mergeCell ref="I34:I35"/>
    <mergeCell ref="J34:J35"/>
    <mergeCell ref="K34:K35"/>
    <mergeCell ref="J47:J48"/>
    <mergeCell ref="K47:K48"/>
    <mergeCell ref="H47:H48"/>
    <mergeCell ref="I47:I48"/>
    <mergeCell ref="H112:H113"/>
    <mergeCell ref="I112:I113"/>
    <mergeCell ref="J112:J113"/>
    <mergeCell ref="K112:K113"/>
    <mergeCell ref="H125:H126"/>
    <mergeCell ref="I125:I126"/>
    <mergeCell ref="J125:J126"/>
    <mergeCell ref="K125:K126"/>
    <mergeCell ref="H86:H87"/>
    <mergeCell ref="I86:I87"/>
    <mergeCell ref="J86:J87"/>
    <mergeCell ref="K86:K87"/>
    <mergeCell ref="H99:H100"/>
    <mergeCell ref="I99:I100"/>
    <mergeCell ref="J99:J100"/>
    <mergeCell ref="K99:K100"/>
  </mergeCells>
  <pageMargins left="0.7" right="0.7" top="0.75" bottom="0.75" header="0.3" footer="0.3"/>
  <pageSetup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16"/>
  <sheetViews>
    <sheetView workbookViewId="0">
      <selection activeCell="C14" sqref="C14"/>
    </sheetView>
  </sheetViews>
  <sheetFormatPr defaultRowHeight="13"/>
  <cols>
    <col min="1" max="1" width="33.7265625" style="93" customWidth="1"/>
    <col min="2" max="2" width="8.7265625" style="93"/>
    <col min="3" max="3" width="32.6328125" style="143" customWidth="1"/>
    <col min="4" max="4" width="10.453125" style="93" customWidth="1"/>
    <col min="5" max="16384" width="8.7265625" style="93"/>
  </cols>
  <sheetData>
    <row r="1" spans="1:4" s="93" customFormat="1">
      <c r="A1" s="142" t="s">
        <v>155</v>
      </c>
      <c r="C1" s="143"/>
    </row>
    <row r="2" spans="1:4" s="93" customFormat="1">
      <c r="A2" s="142"/>
      <c r="C2" s="143"/>
    </row>
    <row r="3" spans="1:4" s="93" customFormat="1">
      <c r="A3" s="144" t="s">
        <v>151</v>
      </c>
      <c r="B3" s="145"/>
      <c r="C3" s="146" t="s">
        <v>152</v>
      </c>
      <c r="D3" s="147"/>
    </row>
    <row r="4" spans="1:4" s="93" customFormat="1">
      <c r="A4" s="148" t="s">
        <v>150</v>
      </c>
      <c r="B4" s="149">
        <v>2.94</v>
      </c>
      <c r="C4" s="150" t="s">
        <v>153</v>
      </c>
      <c r="D4" s="148">
        <v>2.0499999999999998</v>
      </c>
    </row>
    <row r="5" spans="1:4" s="93" customFormat="1">
      <c r="A5" s="148" t="s">
        <v>89</v>
      </c>
      <c r="B5" s="149">
        <f>B4*(0.6/0.4)</f>
        <v>4.4099999999999993</v>
      </c>
      <c r="C5" s="148" t="s">
        <v>149</v>
      </c>
      <c r="D5" s="149">
        <f>(2050*0.7/0.3)/1000</f>
        <v>4.7833333333333341</v>
      </c>
    </row>
    <row r="6" spans="1:4" s="93" customFormat="1">
      <c r="A6" s="148" t="s">
        <v>88</v>
      </c>
      <c r="B6" s="151">
        <v>1.4800000000000001E-2</v>
      </c>
      <c r="C6" s="148" t="s">
        <v>87</v>
      </c>
      <c r="D6" s="151">
        <v>1.2800000000000001E-2</v>
      </c>
    </row>
    <row r="7" spans="1:4" s="93" customFormat="1">
      <c r="B7" s="94"/>
      <c r="D7" s="94"/>
    </row>
    <row r="8" spans="1:4" s="93" customFormat="1">
      <c r="A8" s="152" t="s">
        <v>154</v>
      </c>
      <c r="B8" s="152"/>
      <c r="C8" s="152"/>
      <c r="D8" s="152"/>
    </row>
    <row r="9" spans="1:4" s="93" customFormat="1">
      <c r="A9" s="148" t="s">
        <v>90</v>
      </c>
      <c r="B9" s="149">
        <f>B10*(1-0.5)</f>
        <v>2.2049999999999996</v>
      </c>
      <c r="C9" s="148" t="s">
        <v>90</v>
      </c>
      <c r="D9" s="149">
        <f>D10*(1-0.5)</f>
        <v>2.3916666666666671</v>
      </c>
    </row>
    <row r="10" spans="1:4" s="93" customFormat="1">
      <c r="A10" s="148" t="s">
        <v>92</v>
      </c>
      <c r="B10" s="149">
        <f>B5</f>
        <v>4.4099999999999993</v>
      </c>
      <c r="C10" s="148" t="s">
        <v>92</v>
      </c>
      <c r="D10" s="149">
        <f>D5</f>
        <v>4.7833333333333341</v>
      </c>
    </row>
    <row r="11" spans="1:4" s="93" customFormat="1">
      <c r="A11" s="148" t="s">
        <v>91</v>
      </c>
      <c r="B11" s="149">
        <f>B10*(1+0.5)</f>
        <v>6.6149999999999984</v>
      </c>
      <c r="C11" s="148" t="s">
        <v>91</v>
      </c>
      <c r="D11" s="149">
        <f>D10*(1+0.5)</f>
        <v>7.1750000000000007</v>
      </c>
    </row>
    <row r="14" spans="1:4" s="93" customFormat="1">
      <c r="B14" s="153"/>
      <c r="C14" s="143"/>
    </row>
    <row r="15" spans="1:4" s="93" customFormat="1">
      <c r="B15" s="154"/>
      <c r="C15" s="143"/>
    </row>
    <row r="16" spans="1:4" s="93" customFormat="1">
      <c r="B16" s="154"/>
      <c r="C16" s="143"/>
    </row>
  </sheetData>
  <mergeCells count="1">
    <mergeCell ref="A8:D8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3"/>
  <sheetViews>
    <sheetView tabSelected="1" topLeftCell="K1" zoomScale="98" zoomScaleNormal="98" workbookViewId="0">
      <selection activeCell="N59" sqref="N59"/>
    </sheetView>
  </sheetViews>
  <sheetFormatPr defaultColWidth="15.6328125" defaultRowHeight="17" customHeight="1"/>
  <cols>
    <col min="1" max="17" width="15.6328125" style="1"/>
    <col min="18" max="18" width="19.6328125" style="1" customWidth="1"/>
    <col min="19" max="16384" width="15.6328125" style="1"/>
  </cols>
  <sheetData>
    <row r="1" spans="1:20" ht="17" customHeight="1">
      <c r="A1" s="31" t="s">
        <v>11</v>
      </c>
    </row>
    <row r="2" spans="1:20" ht="17" customHeight="1">
      <c r="A2" s="2" t="s">
        <v>100</v>
      </c>
      <c r="B2" s="2"/>
      <c r="C2" s="2"/>
    </row>
    <row r="3" spans="1:20" ht="17" customHeight="1">
      <c r="A3" s="3"/>
      <c r="B3" s="3"/>
      <c r="C3" s="3"/>
    </row>
    <row r="4" spans="1:20" ht="41" customHeight="1">
      <c r="A4" s="4" t="s">
        <v>28</v>
      </c>
      <c r="B4" s="4" t="s">
        <v>98</v>
      </c>
      <c r="C4" s="4" t="s">
        <v>79</v>
      </c>
      <c r="D4" s="4" t="s">
        <v>80</v>
      </c>
      <c r="E4" s="4" t="s">
        <v>123</v>
      </c>
      <c r="F4" s="4" t="s">
        <v>81</v>
      </c>
      <c r="G4" s="4" t="s">
        <v>99</v>
      </c>
      <c r="H4" s="4" t="s">
        <v>124</v>
      </c>
      <c r="I4" s="5" t="s">
        <v>125</v>
      </c>
      <c r="J4" s="4" t="s">
        <v>126</v>
      </c>
      <c r="K4" s="4" t="s">
        <v>127</v>
      </c>
      <c r="L4" s="4" t="s">
        <v>129</v>
      </c>
      <c r="M4" s="4" t="s">
        <v>82</v>
      </c>
      <c r="N4" s="4" t="s">
        <v>83</v>
      </c>
      <c r="O4" s="4" t="s">
        <v>84</v>
      </c>
      <c r="P4" s="4" t="s">
        <v>128</v>
      </c>
      <c r="Q4" s="4" t="s">
        <v>85</v>
      </c>
      <c r="R4" s="4" t="s">
        <v>122</v>
      </c>
    </row>
    <row r="5" spans="1:20" ht="17" customHeight="1">
      <c r="A5" s="6" t="s">
        <v>66</v>
      </c>
      <c r="B5" s="7">
        <v>17.52</v>
      </c>
      <c r="C5" s="7">
        <v>267.79000000000002</v>
      </c>
      <c r="D5" s="8">
        <v>30.8</v>
      </c>
      <c r="E5" s="32">
        <v>25.49</v>
      </c>
      <c r="F5" s="6">
        <v>0.9</v>
      </c>
      <c r="G5" s="9">
        <v>36.74</v>
      </c>
      <c r="H5" s="9">
        <f>D5*100/(3000*L5/1000)</f>
        <v>0.68444444444444441</v>
      </c>
      <c r="I5" s="6">
        <v>11</v>
      </c>
      <c r="J5" s="6">
        <v>0.85</v>
      </c>
      <c r="K5" s="6">
        <v>5000</v>
      </c>
      <c r="L5" s="6">
        <v>1500</v>
      </c>
      <c r="M5" s="6">
        <v>44.7</v>
      </c>
      <c r="N5" s="6">
        <f>'[1]Crop&amp;input data'!B12</f>
        <v>1.865</v>
      </c>
      <c r="O5" s="6">
        <f>M5*N5</f>
        <v>83.365500000000011</v>
      </c>
      <c r="P5" s="10">
        <f>((H5/100)*K5*L5)/I5*J5</f>
        <v>3966.666666666667</v>
      </c>
      <c r="Q5" s="9">
        <f>(21.37+(C5/(E5*F5))*((0.0037*G5)+(0.0000601*P5)-(0.00362*O5)))</f>
        <v>22.216893394349274</v>
      </c>
      <c r="R5" s="11">
        <f>(44/28)*0.0075*(14/62)*Q5/N5</f>
        <v>3.1702736401172958E-2</v>
      </c>
    </row>
    <row r="6" spans="1:20" ht="17" customHeight="1">
      <c r="A6" s="6" t="s">
        <v>76</v>
      </c>
      <c r="B6" s="7">
        <v>22.77</v>
      </c>
      <c r="C6" s="7">
        <v>70.3</v>
      </c>
      <c r="D6" s="8">
        <v>7.4</v>
      </c>
      <c r="E6" s="8">
        <v>16.260000000000002</v>
      </c>
      <c r="F6" s="6">
        <v>0.9</v>
      </c>
      <c r="G6" s="9">
        <f>$G5</f>
        <v>36.74</v>
      </c>
      <c r="H6" s="9">
        <f t="shared" ref="H6:H9" si="0">D6*100/(3000*L6/1000)</f>
        <v>0.1761904761904762</v>
      </c>
      <c r="I6" s="6">
        <v>11</v>
      </c>
      <c r="J6" s="6">
        <v>0.85</v>
      </c>
      <c r="K6" s="6">
        <v>5000</v>
      </c>
      <c r="L6" s="6">
        <v>1400</v>
      </c>
      <c r="M6" s="6">
        <v>44.7</v>
      </c>
      <c r="N6" s="6">
        <f>$N5</f>
        <v>1.865</v>
      </c>
      <c r="O6" s="6">
        <f t="shared" ref="O6:O9" si="1">M6*N6</f>
        <v>83.365500000000011</v>
      </c>
      <c r="P6" s="10">
        <f t="shared" ref="P6:P9" si="2">((H6/100)*K6*L6)/I6*J6</f>
        <v>953.030303030303</v>
      </c>
      <c r="Q6" s="9">
        <f>(21.37+(C6/(E6*F6))*((0.0037*G6)+(0.0000601*P6)-(0.00362*O6)))</f>
        <v>20.84845226105044</v>
      </c>
      <c r="R6" s="11">
        <f>(44/28)*0.0075*(14/62)*Q6/N6</f>
        <v>2.975001836092123E-2</v>
      </c>
    </row>
    <row r="7" spans="1:20" ht="17" customHeight="1">
      <c r="A7" s="6" t="s">
        <v>64</v>
      </c>
      <c r="B7" s="7">
        <v>18.5</v>
      </c>
      <c r="C7" s="7">
        <v>153.68</v>
      </c>
      <c r="D7" s="8">
        <v>21.1</v>
      </c>
      <c r="E7" s="8">
        <v>23.36</v>
      </c>
      <c r="F7" s="6">
        <v>0.9</v>
      </c>
      <c r="G7" s="9">
        <f>$G6</f>
        <v>36.74</v>
      </c>
      <c r="H7" s="9">
        <f t="shared" si="0"/>
        <v>0.46888888888888891</v>
      </c>
      <c r="I7" s="6">
        <v>11</v>
      </c>
      <c r="J7" s="6">
        <v>0.85</v>
      </c>
      <c r="K7" s="6">
        <v>5000</v>
      </c>
      <c r="L7" s="6">
        <v>1500</v>
      </c>
      <c r="M7" s="6">
        <v>44.7</v>
      </c>
      <c r="N7" s="6">
        <f>$N6</f>
        <v>1.865</v>
      </c>
      <c r="O7" s="6">
        <f t="shared" si="1"/>
        <v>83.365500000000011</v>
      </c>
      <c r="P7" s="10">
        <f t="shared" si="2"/>
        <v>2717.4242424242429</v>
      </c>
      <c r="Q7" s="9">
        <f>(21.37+(C7/(E7*F7))*((0.0037*G7)+(0.0000601*P7)-(0.00362*O7)))</f>
        <v>21.351521609850792</v>
      </c>
      <c r="R7" s="11">
        <f>(44/28)*0.0075*(14/62)*Q7/N7</f>
        <v>3.0467880875424888E-2</v>
      </c>
    </row>
    <row r="8" spans="1:20" ht="17" customHeight="1">
      <c r="A8" s="6" t="s">
        <v>65</v>
      </c>
      <c r="B8" s="7">
        <v>16.32</v>
      </c>
      <c r="C8" s="7">
        <v>340.51</v>
      </c>
      <c r="D8" s="8">
        <v>29.5</v>
      </c>
      <c r="E8" s="8">
        <v>23.29</v>
      </c>
      <c r="F8" s="6">
        <v>0.9</v>
      </c>
      <c r="G8" s="9">
        <f>$G7</f>
        <v>36.74</v>
      </c>
      <c r="H8" s="9">
        <f t="shared" si="0"/>
        <v>0.65555555555555556</v>
      </c>
      <c r="I8" s="6">
        <v>11</v>
      </c>
      <c r="J8" s="6">
        <v>0.85</v>
      </c>
      <c r="K8" s="6">
        <v>5000</v>
      </c>
      <c r="L8" s="6">
        <v>1500</v>
      </c>
      <c r="M8" s="6">
        <v>44.7</v>
      </c>
      <c r="N8" s="6">
        <f>$N7</f>
        <v>1.865</v>
      </c>
      <c r="O8" s="6">
        <f t="shared" si="1"/>
        <v>83.365500000000011</v>
      </c>
      <c r="P8" s="10">
        <f t="shared" si="2"/>
        <v>3799.2424242424236</v>
      </c>
      <c r="Q8" s="9">
        <f>(21.37+(C8/(E8*F8))*((0.0037*G8)+(0.0000601*P8)-(0.00362*O8)))</f>
        <v>22.385135340413871</v>
      </c>
      <c r="R8" s="11">
        <f>(44/28)*0.0075*(14/62)*Q8/N8</f>
        <v>3.1942811823646874E-2</v>
      </c>
    </row>
    <row r="9" spans="1:20" ht="20.399999999999999" customHeight="1">
      <c r="A9" s="6" t="s">
        <v>67</v>
      </c>
      <c r="B9" s="7">
        <v>17.07</v>
      </c>
      <c r="C9" s="7">
        <v>527.73</v>
      </c>
      <c r="D9" s="8">
        <v>40.1</v>
      </c>
      <c r="E9" s="8">
        <v>28.22</v>
      </c>
      <c r="F9" s="6">
        <v>0.9</v>
      </c>
      <c r="G9" s="9">
        <f>$G8</f>
        <v>36.74</v>
      </c>
      <c r="H9" s="9">
        <f t="shared" si="0"/>
        <v>0.89111111111111108</v>
      </c>
      <c r="I9" s="6">
        <v>11</v>
      </c>
      <c r="J9" s="6">
        <v>0.85</v>
      </c>
      <c r="K9" s="6">
        <v>5000</v>
      </c>
      <c r="L9" s="6">
        <v>1500</v>
      </c>
      <c r="M9" s="6">
        <v>44.7</v>
      </c>
      <c r="N9" s="6">
        <f>$N8</f>
        <v>1.865</v>
      </c>
      <c r="O9" s="6">
        <f t="shared" si="1"/>
        <v>83.365500000000011</v>
      </c>
      <c r="P9" s="10">
        <f t="shared" si="2"/>
        <v>5164.393939393939</v>
      </c>
      <c r="Q9" s="9">
        <f>(21.37+(C9/(E9*F9))*((0.0037*G9)+(0.0000601*P9)-(0.00362*O9)))</f>
        <v>24.373206452446865</v>
      </c>
      <c r="R9" s="11">
        <f>(44/28)*0.0075*(14/62)*Q9/N9</f>
        <v>3.4779720355043953E-2</v>
      </c>
    </row>
    <row r="10" spans="1:20" ht="17" customHeight="1">
      <c r="A10" s="12"/>
      <c r="D10" s="13"/>
      <c r="E10" s="14"/>
      <c r="F10" s="14"/>
      <c r="G10" s="15"/>
      <c r="H10" s="15"/>
      <c r="P10" s="16" t="s">
        <v>59</v>
      </c>
      <c r="Q10" s="17">
        <f>AVERAGE(Q5:Q9)</f>
        <v>22.235041811622246</v>
      </c>
      <c r="R10" s="18">
        <f>AVERAGE(R5:R9)</f>
        <v>3.172863356324198E-2</v>
      </c>
    </row>
    <row r="11" spans="1:20" ht="17" customHeight="1">
      <c r="A11" s="12"/>
      <c r="D11" s="13"/>
      <c r="E11" s="14"/>
      <c r="F11" s="14"/>
      <c r="G11" s="15"/>
      <c r="H11" s="15"/>
      <c r="P11" s="12"/>
      <c r="Q11" s="29"/>
      <c r="R11" s="20"/>
    </row>
    <row r="12" spans="1:20" ht="17" customHeight="1">
      <c r="A12" s="21" t="s">
        <v>121</v>
      </c>
      <c r="B12" s="21"/>
      <c r="C12" s="21"/>
    </row>
    <row r="13" spans="1:20" ht="17" customHeight="1">
      <c r="A13" s="3"/>
      <c r="B13" s="3"/>
      <c r="C13" s="3"/>
    </row>
    <row r="14" spans="1:20" ht="17" customHeight="1">
      <c r="A14" s="22" t="s">
        <v>101</v>
      </c>
      <c r="F14" s="23"/>
      <c r="G14" s="23"/>
      <c r="J14" s="24"/>
      <c r="R14" s="25"/>
      <c r="S14" s="26"/>
      <c r="T14" s="26"/>
    </row>
    <row r="15" spans="1:20" ht="41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4" t="s">
        <v>129</v>
      </c>
      <c r="M15" s="27" t="s">
        <v>82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20" ht="17" customHeight="1">
      <c r="A16" s="6" t="s">
        <v>66</v>
      </c>
      <c r="B16" s="7">
        <v>17.52</v>
      </c>
      <c r="C16" s="7">
        <v>267.79000000000002</v>
      </c>
      <c r="D16" s="8">
        <v>30.8</v>
      </c>
      <c r="E16" s="32">
        <v>25.49</v>
      </c>
      <c r="F16" s="6">
        <v>0.9</v>
      </c>
      <c r="G16" s="11">
        <f>'Summary N2O from residue'!H10*1000</f>
        <v>31.960444444444445</v>
      </c>
      <c r="H16" s="9">
        <f>D16*100/(3000*L16/1000)</f>
        <v>0.68444444444444441</v>
      </c>
      <c r="I16" s="6">
        <v>11</v>
      </c>
      <c r="J16" s="6">
        <v>0.85</v>
      </c>
      <c r="K16" s="6">
        <v>5000</v>
      </c>
      <c r="L16" s="6">
        <v>1500</v>
      </c>
      <c r="M16" s="6">
        <v>44.7</v>
      </c>
      <c r="N16" s="6">
        <f>N5</f>
        <v>1.865</v>
      </c>
      <c r="O16" s="6">
        <f>M16*N16</f>
        <v>83.365500000000011</v>
      </c>
      <c r="P16" s="10">
        <f>((H16/100)*K16*L16)/I16*J16</f>
        <v>3966.666666666667</v>
      </c>
      <c r="Q16" s="9">
        <f>(21.37+(C16/(E16*F16))*((0.0037*G16)+(0.0000601*P16)-(0.00362*O16)))</f>
        <v>22.010464137811972</v>
      </c>
      <c r="R16" s="11">
        <f>(44/28)*0.0075*(14/62)*Q16/N16</f>
        <v>3.1408169010974443E-2</v>
      </c>
      <c r="S16" s="26"/>
      <c r="T16" s="26"/>
    </row>
    <row r="17" spans="1:19" ht="17" customHeight="1">
      <c r="A17" s="6" t="s">
        <v>76</v>
      </c>
      <c r="B17" s="7">
        <v>22.77</v>
      </c>
      <c r="C17" s="7">
        <v>70.3</v>
      </c>
      <c r="D17" s="8">
        <v>7.4</v>
      </c>
      <c r="E17" s="8">
        <v>16.260000000000002</v>
      </c>
      <c r="F17" s="6">
        <v>0.9</v>
      </c>
      <c r="G17" s="11">
        <f>$G16</f>
        <v>31.960444444444445</v>
      </c>
      <c r="H17" s="9">
        <f t="shared" ref="H17:H20" si="3">D17*100/(3000*L17/1000)</f>
        <v>0.1761904761904762</v>
      </c>
      <c r="I17" s="6">
        <v>11</v>
      </c>
      <c r="J17" s="6">
        <v>0.85</v>
      </c>
      <c r="K17" s="6">
        <v>5000</v>
      </c>
      <c r="L17" s="6">
        <v>1400</v>
      </c>
      <c r="M17" s="6">
        <v>44.7</v>
      </c>
      <c r="N17" s="6">
        <f>$N16</f>
        <v>1.865</v>
      </c>
      <c r="O17" s="6">
        <f t="shared" ref="O17:O20" si="4">M17*N17</f>
        <v>83.365500000000011</v>
      </c>
      <c r="P17" s="10">
        <f t="shared" ref="P17:P20" si="5">((H17/100)*K17*L17)/I17*J17</f>
        <v>953.030303030303</v>
      </c>
      <c r="Q17" s="9">
        <f>(21.37+(C17/(E17*F17))*((0.0037*G17)+(0.0000601*P17)-(0.00362*O17)))</f>
        <v>20.763498714818681</v>
      </c>
      <c r="R17" s="11">
        <f>(44/28)*0.0075*(14/62)*Q17/N17</f>
        <v>2.9628792596601936E-2</v>
      </c>
      <c r="S17" s="26"/>
    </row>
    <row r="18" spans="1:19" ht="17" customHeight="1">
      <c r="A18" s="6" t="s">
        <v>64</v>
      </c>
      <c r="B18" s="7">
        <v>18.5</v>
      </c>
      <c r="C18" s="7">
        <v>153.68</v>
      </c>
      <c r="D18" s="8">
        <v>21.1</v>
      </c>
      <c r="E18" s="8">
        <v>23.36</v>
      </c>
      <c r="F18" s="6">
        <v>0.9</v>
      </c>
      <c r="G18" s="11">
        <f>$G17</f>
        <v>31.960444444444445</v>
      </c>
      <c r="H18" s="9">
        <f t="shared" si="3"/>
        <v>0.46888888888888891</v>
      </c>
      <c r="I18" s="6">
        <v>11</v>
      </c>
      <c r="J18" s="6">
        <v>0.85</v>
      </c>
      <c r="K18" s="6">
        <v>5000</v>
      </c>
      <c r="L18" s="6">
        <v>1500</v>
      </c>
      <c r="M18" s="6">
        <v>44.7</v>
      </c>
      <c r="N18" s="6">
        <f>$N17</f>
        <v>1.865</v>
      </c>
      <c r="O18" s="6">
        <f t="shared" si="4"/>
        <v>83.365500000000011</v>
      </c>
      <c r="P18" s="10">
        <f t="shared" si="5"/>
        <v>2717.4242424242429</v>
      </c>
      <c r="Q18" s="9">
        <f>(21.37+(C18/(E18*F18))*((0.0037*G18)+(0.0000601*P18)-(0.00362*O18)))</f>
        <v>21.222253546600328</v>
      </c>
      <c r="R18" s="11">
        <f>(44/28)*0.0075*(14/62)*Q18/N18</f>
        <v>3.0283419832128802E-2</v>
      </c>
    </row>
    <row r="19" spans="1:19" ht="17" customHeight="1">
      <c r="A19" s="6" t="s">
        <v>65</v>
      </c>
      <c r="B19" s="7">
        <v>16.32</v>
      </c>
      <c r="C19" s="7">
        <v>340.51</v>
      </c>
      <c r="D19" s="8">
        <v>29.5</v>
      </c>
      <c r="E19" s="8">
        <v>23.29</v>
      </c>
      <c r="F19" s="6">
        <v>0.9</v>
      </c>
      <c r="G19" s="11">
        <f>$G18</f>
        <v>31.960444444444445</v>
      </c>
      <c r="H19" s="9">
        <f t="shared" si="3"/>
        <v>0.65555555555555556</v>
      </c>
      <c r="I19" s="6">
        <v>11</v>
      </c>
      <c r="J19" s="6">
        <v>0.85</v>
      </c>
      <c r="K19" s="6">
        <v>5000</v>
      </c>
      <c r="L19" s="6">
        <v>1500</v>
      </c>
      <c r="M19" s="6">
        <v>44.7</v>
      </c>
      <c r="N19" s="6">
        <f>$N18</f>
        <v>1.865</v>
      </c>
      <c r="O19" s="6">
        <f t="shared" si="4"/>
        <v>83.365500000000011</v>
      </c>
      <c r="P19" s="10">
        <f t="shared" si="5"/>
        <v>3799.2424242424236</v>
      </c>
      <c r="Q19" s="9">
        <f>(21.37+(C19/(E19*F19))*((0.0037*G19)+(0.0000601*P19)-(0.00362*O19)))</f>
        <v>22.09785420353003</v>
      </c>
      <c r="R19" s="11">
        <f>(44/28)*0.0075*(14/62)*Q19/N19</f>
        <v>3.1532871604103209E-2</v>
      </c>
    </row>
    <row r="20" spans="1:19" ht="17" customHeight="1">
      <c r="A20" s="6" t="s">
        <v>67</v>
      </c>
      <c r="B20" s="7">
        <v>17.07</v>
      </c>
      <c r="C20" s="7">
        <v>527.73</v>
      </c>
      <c r="D20" s="8">
        <v>40.1</v>
      </c>
      <c r="E20" s="8">
        <v>28.22</v>
      </c>
      <c r="F20" s="6">
        <v>0.9</v>
      </c>
      <c r="G20" s="11">
        <f>$G19</f>
        <v>31.960444444444445</v>
      </c>
      <c r="H20" s="9">
        <f t="shared" si="3"/>
        <v>0.89111111111111108</v>
      </c>
      <c r="I20" s="6">
        <v>11</v>
      </c>
      <c r="J20" s="6">
        <v>0.85</v>
      </c>
      <c r="K20" s="6">
        <v>5000</v>
      </c>
      <c r="L20" s="6">
        <v>1500</v>
      </c>
      <c r="M20" s="6">
        <v>44.7</v>
      </c>
      <c r="N20" s="6">
        <f>$N19</f>
        <v>1.865</v>
      </c>
      <c r="O20" s="6">
        <f t="shared" si="4"/>
        <v>83.365500000000011</v>
      </c>
      <c r="P20" s="10">
        <f t="shared" si="5"/>
        <v>5164.393939393939</v>
      </c>
      <c r="Q20" s="9">
        <f>(21.37+(C20/(E20*F20))*((0.0037*G20)+(0.0000601*P20)-(0.00362*O20)))</f>
        <v>24.005753701941575</v>
      </c>
      <c r="R20" s="11">
        <f>(44/28)*0.0075*(14/62)*Q20/N20</f>
        <v>3.4255378023180481E-2</v>
      </c>
    </row>
    <row r="21" spans="1:19" ht="17" customHeight="1">
      <c r="A21" s="12"/>
      <c r="E21" s="19"/>
      <c r="F21" s="19"/>
      <c r="P21" s="16" t="s">
        <v>59</v>
      </c>
      <c r="Q21" s="17">
        <f>AVERAGE(Q16:Q20)</f>
        <v>22.019964860940515</v>
      </c>
      <c r="R21" s="18">
        <f>AVERAGE(R16:R20)</f>
        <v>3.1421726213397776E-2</v>
      </c>
    </row>
    <row r="22" spans="1:19" ht="17" customHeight="1">
      <c r="A22" s="12"/>
      <c r="E22" s="19"/>
      <c r="F22" s="19"/>
      <c r="R22" s="20"/>
    </row>
    <row r="23" spans="1:19" ht="17" customHeight="1">
      <c r="A23" s="22" t="s">
        <v>102</v>
      </c>
    </row>
    <row r="24" spans="1:19" ht="41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4" t="s">
        <v>129</v>
      </c>
      <c r="M24" s="27" t="s">
        <v>82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9" ht="17" customHeight="1">
      <c r="A25" s="6" t="s">
        <v>66</v>
      </c>
      <c r="B25" s="7">
        <v>17.52</v>
      </c>
      <c r="C25" s="7">
        <v>267.79000000000002</v>
      </c>
      <c r="D25" s="8">
        <v>30.8</v>
      </c>
      <c r="E25" s="32">
        <v>25.49</v>
      </c>
      <c r="F25" s="6">
        <v>0.9</v>
      </c>
      <c r="G25" s="9">
        <f>'Summary N2O from residue'!H11*1000</f>
        <v>42.164888888888889</v>
      </c>
      <c r="H25" s="9">
        <f>D25*100/(3000*L25/1000)</f>
        <v>0.68444444444444441</v>
      </c>
      <c r="I25" s="6">
        <v>11</v>
      </c>
      <c r="J25" s="6">
        <v>0.85</v>
      </c>
      <c r="K25" s="6">
        <v>5000</v>
      </c>
      <c r="L25" s="6">
        <v>1500</v>
      </c>
      <c r="M25" s="6">
        <v>44.7</v>
      </c>
      <c r="N25" s="6">
        <f>N16</f>
        <v>1.865</v>
      </c>
      <c r="O25" s="6">
        <f>M25*N25</f>
        <v>83.365500000000011</v>
      </c>
      <c r="P25" s="10">
        <f>((H25/100)*K25*L25)/I25*J25</f>
        <v>3966.666666666667</v>
      </c>
      <c r="Q25" s="9">
        <f>(21.37+(C25/(E25*F25))*((0.0037*G25)+(0.0000601*P25)-(0.00362*O25)))</f>
        <v>22.451194631590699</v>
      </c>
      <c r="R25" s="11">
        <f>(44/28)*0.0075*(14/62)*Q25/N25</f>
        <v>3.2037076141247643E-2</v>
      </c>
    </row>
    <row r="26" spans="1:19" ht="17" customHeight="1">
      <c r="A26" s="6" t="s">
        <v>76</v>
      </c>
      <c r="B26" s="7">
        <v>22.77</v>
      </c>
      <c r="C26" s="7">
        <v>70.3</v>
      </c>
      <c r="D26" s="8">
        <v>7.4</v>
      </c>
      <c r="E26" s="8">
        <v>16.260000000000002</v>
      </c>
      <c r="F26" s="6">
        <v>0.9</v>
      </c>
      <c r="G26" s="9">
        <f>$G25</f>
        <v>42.164888888888889</v>
      </c>
      <c r="H26" s="9">
        <f t="shared" ref="H26:H29" si="6">D26*100/(3000*L26/1000)</f>
        <v>0.1761904761904762</v>
      </c>
      <c r="I26" s="6">
        <v>11</v>
      </c>
      <c r="J26" s="6">
        <v>0.85</v>
      </c>
      <c r="K26" s="6">
        <v>5000</v>
      </c>
      <c r="L26" s="6">
        <v>1400</v>
      </c>
      <c r="M26" s="6">
        <v>44.7</v>
      </c>
      <c r="N26" s="6">
        <f>$N25</f>
        <v>1.865</v>
      </c>
      <c r="O26" s="6">
        <f t="shared" ref="O26:O29" si="7">M26*N26</f>
        <v>83.365500000000011</v>
      </c>
      <c r="P26" s="10">
        <f t="shared" ref="P26:P29" si="8">((H26/100)*K26*L26)/I26*J26</f>
        <v>953.030303030303</v>
      </c>
      <c r="Q26" s="9">
        <f>(21.37+(C26/(E26*F26))*((0.0037*G26)+(0.0000601*P26)-(0.00362*O26)))</f>
        <v>20.944876194963854</v>
      </c>
      <c r="R26" s="11">
        <f>(44/28)*0.0075*(14/62)*Q26/N26</f>
        <v>2.9887611970674008E-2</v>
      </c>
    </row>
    <row r="27" spans="1:19" ht="17" customHeight="1">
      <c r="A27" s="6" t="s">
        <v>64</v>
      </c>
      <c r="B27" s="7">
        <v>18.5</v>
      </c>
      <c r="C27" s="7">
        <v>153.68</v>
      </c>
      <c r="D27" s="8">
        <v>21.1</v>
      </c>
      <c r="E27" s="8">
        <v>23.36</v>
      </c>
      <c r="F27" s="6">
        <v>0.9</v>
      </c>
      <c r="G27" s="9">
        <f>$G26</f>
        <v>42.164888888888889</v>
      </c>
      <c r="H27" s="9">
        <f t="shared" si="6"/>
        <v>0.46888888888888891</v>
      </c>
      <c r="I27" s="6">
        <v>11</v>
      </c>
      <c r="J27" s="6">
        <v>0.85</v>
      </c>
      <c r="K27" s="6">
        <v>5000</v>
      </c>
      <c r="L27" s="6">
        <v>1500</v>
      </c>
      <c r="M27" s="6">
        <v>44.7</v>
      </c>
      <c r="N27" s="6">
        <f>$N26</f>
        <v>1.865</v>
      </c>
      <c r="O27" s="6">
        <f t="shared" si="7"/>
        <v>83.365500000000011</v>
      </c>
      <c r="P27" s="10">
        <f t="shared" si="8"/>
        <v>2717.4242424242429</v>
      </c>
      <c r="Q27" s="9">
        <f>(21.37+(C27/(E27*F27))*((0.0037*G27)+(0.0000601*P27)-(0.00362*O27)))</f>
        <v>21.498243385937382</v>
      </c>
      <c r="R27" s="11">
        <f>(44/28)*0.0075*(14/62)*Q27/N27</f>
        <v>3.0677247761650674E-2</v>
      </c>
    </row>
    <row r="28" spans="1:19" ht="17" customHeight="1">
      <c r="A28" s="6" t="s">
        <v>65</v>
      </c>
      <c r="B28" s="7">
        <v>16.32</v>
      </c>
      <c r="C28" s="7">
        <v>340.51</v>
      </c>
      <c r="D28" s="8">
        <v>29.5</v>
      </c>
      <c r="E28" s="8">
        <v>23.29</v>
      </c>
      <c r="F28" s="6">
        <v>0.9</v>
      </c>
      <c r="G28" s="9">
        <f>$G27</f>
        <v>42.164888888888889</v>
      </c>
      <c r="H28" s="9">
        <f t="shared" si="6"/>
        <v>0.65555555555555556</v>
      </c>
      <c r="I28" s="6">
        <v>11</v>
      </c>
      <c r="J28" s="6">
        <v>0.85</v>
      </c>
      <c r="K28" s="6">
        <v>5000</v>
      </c>
      <c r="L28" s="6">
        <v>1500</v>
      </c>
      <c r="M28" s="6">
        <v>44.7</v>
      </c>
      <c r="N28" s="6">
        <f>$N27</f>
        <v>1.865</v>
      </c>
      <c r="O28" s="6">
        <f t="shared" si="7"/>
        <v>83.365500000000011</v>
      </c>
      <c r="P28" s="10">
        <f t="shared" si="8"/>
        <v>3799.2424242424236</v>
      </c>
      <c r="Q28" s="9">
        <f>(21.37+(C28/(E28*F28))*((0.0037*G28)+(0.0000601*P28)-(0.00362*O28)))</f>
        <v>22.711205040693226</v>
      </c>
      <c r="R28" s="11">
        <f>(44/28)*0.0075*(14/62)*Q28/N28</f>
        <v>3.2408101977984792E-2</v>
      </c>
    </row>
    <row r="29" spans="1:19" ht="17" customHeight="1">
      <c r="A29" s="6" t="s">
        <v>67</v>
      </c>
      <c r="B29" s="7">
        <v>17.07</v>
      </c>
      <c r="C29" s="7">
        <v>527.73</v>
      </c>
      <c r="D29" s="8">
        <v>40.1</v>
      </c>
      <c r="E29" s="8">
        <v>28.22</v>
      </c>
      <c r="F29" s="6">
        <v>0.9</v>
      </c>
      <c r="G29" s="9">
        <f>$G28</f>
        <v>42.164888888888889</v>
      </c>
      <c r="H29" s="9">
        <f t="shared" si="6"/>
        <v>0.89111111111111108</v>
      </c>
      <c r="I29" s="6">
        <v>11</v>
      </c>
      <c r="J29" s="6">
        <v>0.85</v>
      </c>
      <c r="K29" s="6">
        <v>5000</v>
      </c>
      <c r="L29" s="6">
        <v>1500</v>
      </c>
      <c r="M29" s="6">
        <v>44.7</v>
      </c>
      <c r="N29" s="6">
        <f>$N28</f>
        <v>1.865</v>
      </c>
      <c r="O29" s="6">
        <f t="shared" si="7"/>
        <v>83.365500000000011</v>
      </c>
      <c r="P29" s="10">
        <f t="shared" si="8"/>
        <v>5164.393939393939</v>
      </c>
      <c r="Q29" s="9">
        <f>(21.37+(C29/(E29*F29))*((0.0037*G29)+(0.0000601*P29)-(0.00362*O29)))</f>
        <v>24.790272499747175</v>
      </c>
      <c r="R29" s="11">
        <f>(44/28)*0.0075*(14/62)*Q29/N29</f>
        <v>3.5374859140865543E-2</v>
      </c>
    </row>
    <row r="30" spans="1:19" ht="17" customHeight="1">
      <c r="A30" s="12"/>
      <c r="E30" s="19"/>
      <c r="F30" s="19"/>
      <c r="P30" s="16" t="s">
        <v>59</v>
      </c>
      <c r="Q30" s="17">
        <f>AVERAGE(Q25:Q29)</f>
        <v>22.479158350586466</v>
      </c>
      <c r="R30" s="18">
        <f>AVERAGE(R25:R29)</f>
        <v>3.2076979398484536E-2</v>
      </c>
    </row>
    <row r="32" spans="1:19" ht="17" customHeight="1">
      <c r="A32" s="22" t="s">
        <v>103</v>
      </c>
    </row>
    <row r="33" spans="1:18" ht="41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4" t="s">
        <v>129</v>
      </c>
      <c r="M33" s="27" t="s">
        <v>82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8" ht="17" customHeight="1">
      <c r="A34" s="6" t="s">
        <v>66</v>
      </c>
      <c r="B34" s="7">
        <v>17.52</v>
      </c>
      <c r="C34" s="7">
        <v>267.79000000000002</v>
      </c>
      <c r="D34" s="8">
        <v>30.8</v>
      </c>
      <c r="E34" s="32">
        <v>25.49</v>
      </c>
      <c r="F34" s="6">
        <v>0.9</v>
      </c>
      <c r="G34" s="9">
        <f>'Summary N2O from residue'!H12*1000</f>
        <v>52.369333333333337</v>
      </c>
      <c r="H34" s="9">
        <f>D34*100/(3000*L34/1000)</f>
        <v>0.68444444444444441</v>
      </c>
      <c r="I34" s="6">
        <v>11</v>
      </c>
      <c r="J34" s="6">
        <v>0.85</v>
      </c>
      <c r="K34" s="6">
        <v>5000</v>
      </c>
      <c r="L34" s="6">
        <v>1500</v>
      </c>
      <c r="M34" s="6">
        <v>44.7</v>
      </c>
      <c r="N34" s="6">
        <f>N25</f>
        <v>1.865</v>
      </c>
      <c r="O34" s="6">
        <f>M34*N34</f>
        <v>83.365500000000011</v>
      </c>
      <c r="P34" s="10">
        <f>((H34/100)*K34*L34)/I34*J34</f>
        <v>3966.666666666667</v>
      </c>
      <c r="Q34" s="9">
        <f>(21.37+(C34/(E34*F34))*((0.0037*G34)+(0.0000601*P34)-(0.00362*O34)))</f>
        <v>22.891925125369426</v>
      </c>
      <c r="R34" s="11">
        <f>(44/28)*0.0075*(14/62)*Q34/N34</f>
        <v>3.2665983271520836E-2</v>
      </c>
    </row>
    <row r="35" spans="1:18" ht="17" customHeight="1">
      <c r="A35" s="6" t="s">
        <v>76</v>
      </c>
      <c r="B35" s="7">
        <v>22.77</v>
      </c>
      <c r="C35" s="7">
        <v>70.3</v>
      </c>
      <c r="D35" s="8">
        <v>7.4</v>
      </c>
      <c r="E35" s="8">
        <v>16.260000000000002</v>
      </c>
      <c r="F35" s="6">
        <v>0.9</v>
      </c>
      <c r="G35" s="9">
        <f>$G34</f>
        <v>52.369333333333337</v>
      </c>
      <c r="H35" s="9">
        <f t="shared" ref="H35:H38" si="9">D35*100/(3000*L35/1000)</f>
        <v>0.1761904761904762</v>
      </c>
      <c r="I35" s="6">
        <v>11</v>
      </c>
      <c r="J35" s="6">
        <v>0.85</v>
      </c>
      <c r="K35" s="6">
        <v>5000</v>
      </c>
      <c r="L35" s="6">
        <v>1400</v>
      </c>
      <c r="M35" s="6">
        <v>44.7</v>
      </c>
      <c r="N35" s="6">
        <f>$N34</f>
        <v>1.865</v>
      </c>
      <c r="O35" s="6">
        <f t="shared" ref="O35:O38" si="10">M35*N35</f>
        <v>83.365500000000011</v>
      </c>
      <c r="P35" s="10">
        <f t="shared" ref="P35:P38" si="11">((H35/100)*K35*L35)/I35*J35</f>
        <v>953.030303030303</v>
      </c>
      <c r="Q35" s="9">
        <f>(21.37+(C35/(E35*F35))*((0.0037*G35)+(0.0000601*P35)-(0.00362*O35)))</f>
        <v>21.126253675109027</v>
      </c>
      <c r="R35" s="11">
        <f>(44/28)*0.0075*(14/62)*Q35/N35</f>
        <v>3.0146431344746073E-2</v>
      </c>
    </row>
    <row r="36" spans="1:18" ht="17" customHeight="1">
      <c r="A36" s="6" t="s">
        <v>64</v>
      </c>
      <c r="B36" s="7">
        <v>18.5</v>
      </c>
      <c r="C36" s="7">
        <v>153.68</v>
      </c>
      <c r="D36" s="8">
        <v>21.1</v>
      </c>
      <c r="E36" s="8">
        <v>23.36</v>
      </c>
      <c r="F36" s="6">
        <v>0.9</v>
      </c>
      <c r="G36" s="9">
        <f>$G35</f>
        <v>52.369333333333337</v>
      </c>
      <c r="H36" s="9">
        <f t="shared" si="9"/>
        <v>0.46888888888888891</v>
      </c>
      <c r="I36" s="6">
        <v>11</v>
      </c>
      <c r="J36" s="6">
        <v>0.85</v>
      </c>
      <c r="K36" s="6">
        <v>5000</v>
      </c>
      <c r="L36" s="6">
        <v>1500</v>
      </c>
      <c r="M36" s="6">
        <v>44.7</v>
      </c>
      <c r="N36" s="6">
        <f>$N35</f>
        <v>1.865</v>
      </c>
      <c r="O36" s="6">
        <f t="shared" si="10"/>
        <v>83.365500000000011</v>
      </c>
      <c r="P36" s="10">
        <f t="shared" si="11"/>
        <v>2717.4242424242429</v>
      </c>
      <c r="Q36" s="9">
        <f>(21.37+(C36/(E36*F36))*((0.0037*G36)+(0.0000601*P36)-(0.00362*O36)))</f>
        <v>21.774233225274436</v>
      </c>
      <c r="R36" s="11">
        <f>(44/28)*0.0075*(14/62)*Q36/N36</f>
        <v>3.1071075691172543E-2</v>
      </c>
    </row>
    <row r="37" spans="1:18" ht="17" customHeight="1">
      <c r="A37" s="6" t="s">
        <v>65</v>
      </c>
      <c r="B37" s="7">
        <v>16.32</v>
      </c>
      <c r="C37" s="7">
        <v>340.51</v>
      </c>
      <c r="D37" s="8">
        <v>29.5</v>
      </c>
      <c r="E37" s="8">
        <v>23.29</v>
      </c>
      <c r="F37" s="6">
        <v>0.9</v>
      </c>
      <c r="G37" s="9">
        <f>$G36</f>
        <v>52.369333333333337</v>
      </c>
      <c r="H37" s="9">
        <f t="shared" si="9"/>
        <v>0.65555555555555556</v>
      </c>
      <c r="I37" s="6">
        <v>11</v>
      </c>
      <c r="J37" s="6">
        <v>0.85</v>
      </c>
      <c r="K37" s="6">
        <v>5000</v>
      </c>
      <c r="L37" s="6">
        <v>1500</v>
      </c>
      <c r="M37" s="6">
        <v>44.7</v>
      </c>
      <c r="N37" s="6">
        <f>$N36</f>
        <v>1.865</v>
      </c>
      <c r="O37" s="6">
        <f t="shared" si="10"/>
        <v>83.365500000000011</v>
      </c>
      <c r="P37" s="10">
        <f t="shared" si="11"/>
        <v>3799.2424242424236</v>
      </c>
      <c r="Q37" s="9">
        <f>(21.37+(C37/(E37*F37))*((0.0037*G37)+(0.0000601*P37)-(0.00362*O37)))</f>
        <v>23.324555877856422</v>
      </c>
      <c r="R37" s="11">
        <f>(44/28)*0.0075*(14/62)*Q37/N37</f>
        <v>3.3283332351866375E-2</v>
      </c>
    </row>
    <row r="38" spans="1:18" ht="17" customHeight="1">
      <c r="A38" s="6" t="s">
        <v>67</v>
      </c>
      <c r="B38" s="7">
        <v>17.07</v>
      </c>
      <c r="C38" s="7">
        <v>527.73</v>
      </c>
      <c r="D38" s="8">
        <v>40.1</v>
      </c>
      <c r="E38" s="8">
        <v>28.22</v>
      </c>
      <c r="F38" s="6">
        <v>0.9</v>
      </c>
      <c r="G38" s="9">
        <f>$G37</f>
        <v>52.369333333333337</v>
      </c>
      <c r="H38" s="9">
        <f t="shared" si="9"/>
        <v>0.89111111111111108</v>
      </c>
      <c r="I38" s="6">
        <v>11</v>
      </c>
      <c r="J38" s="6">
        <v>0.85</v>
      </c>
      <c r="K38" s="6">
        <v>5000</v>
      </c>
      <c r="L38" s="6">
        <v>1500</v>
      </c>
      <c r="M38" s="6">
        <v>44.7</v>
      </c>
      <c r="N38" s="6">
        <f>$N37</f>
        <v>1.865</v>
      </c>
      <c r="O38" s="6">
        <f t="shared" si="10"/>
        <v>83.365500000000011</v>
      </c>
      <c r="P38" s="10">
        <f t="shared" si="11"/>
        <v>5164.393939393939</v>
      </c>
      <c r="Q38" s="9">
        <f>(21.37+(C38/(E38*F38))*((0.0037*G38)+(0.0000601*P38)-(0.00362*O38)))</f>
        <v>25.574791297552778</v>
      </c>
      <c r="R38" s="11">
        <f>(44/28)*0.0075*(14/62)*Q38/N38</f>
        <v>3.6494340258550619E-2</v>
      </c>
    </row>
    <row r="39" spans="1:18" ht="17" customHeight="1">
      <c r="A39" s="12"/>
      <c r="E39" s="19"/>
      <c r="F39" s="19"/>
      <c r="P39" s="16" t="s">
        <v>59</v>
      </c>
      <c r="Q39" s="17">
        <f>AVERAGE(Q34:Q38)</f>
        <v>22.938351840232421</v>
      </c>
      <c r="R39" s="18">
        <f>AVERAGE(R34:R38)</f>
        <v>3.2732232583571289E-2</v>
      </c>
    </row>
    <row r="41" spans="1:18" ht="17" customHeight="1">
      <c r="A41" s="22" t="s">
        <v>109</v>
      </c>
    </row>
    <row r="42" spans="1:18" ht="41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4" t="s">
        <v>129</v>
      </c>
      <c r="M42" s="27" t="s">
        <v>82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8" ht="17" customHeight="1">
      <c r="A43" s="6" t="s">
        <v>66</v>
      </c>
      <c r="B43" s="7">
        <v>17.52</v>
      </c>
      <c r="C43" s="7">
        <v>267.79000000000002</v>
      </c>
      <c r="D43" s="8">
        <v>30.8</v>
      </c>
      <c r="E43" s="32">
        <v>25.49</v>
      </c>
      <c r="F43" s="6">
        <v>0.9</v>
      </c>
      <c r="G43" s="9">
        <f>'Summary N2O from residue'!H13*1000</f>
        <v>53.716444444444434</v>
      </c>
      <c r="H43" s="9">
        <f>D43*100/(3000*L43/1000)</f>
        <v>0.68444444444444441</v>
      </c>
      <c r="I43" s="6">
        <v>11</v>
      </c>
      <c r="J43" s="6">
        <v>0.85</v>
      </c>
      <c r="K43" s="6">
        <v>5000</v>
      </c>
      <c r="L43" s="6">
        <v>1500</v>
      </c>
      <c r="M43" s="6">
        <v>44.7</v>
      </c>
      <c r="N43" s="6">
        <f>N34</f>
        <v>1.865</v>
      </c>
      <c r="O43" s="6">
        <f>M43*N43</f>
        <v>83.365500000000011</v>
      </c>
      <c r="P43" s="10">
        <f>((H43/100)*K43*L43)/I43*J43</f>
        <v>3966.666666666667</v>
      </c>
      <c r="Q43" s="9">
        <f>(21.37+(C43/(E43*F43))*((0.0037*G43)+(0.0000601*P43)-(0.00362*O43)))</f>
        <v>22.950106925310337</v>
      </c>
      <c r="R43" s="11">
        <f>(44/28)*0.0075*(14/62)*Q43/N43</f>
        <v>3.2749006682316048E-2</v>
      </c>
    </row>
    <row r="44" spans="1:18" ht="17" customHeight="1">
      <c r="A44" s="6" t="s">
        <v>76</v>
      </c>
      <c r="B44" s="7">
        <v>22.77</v>
      </c>
      <c r="C44" s="7">
        <v>70.3</v>
      </c>
      <c r="D44" s="8">
        <v>7.4</v>
      </c>
      <c r="E44" s="8">
        <v>16.260000000000002</v>
      </c>
      <c r="F44" s="6">
        <v>0.9</v>
      </c>
      <c r="G44" s="9">
        <f>$G43</f>
        <v>53.716444444444434</v>
      </c>
      <c r="H44" s="9">
        <f t="shared" ref="H44:H47" si="12">D44*100/(3000*L44/1000)</f>
        <v>0.1761904761904762</v>
      </c>
      <c r="I44" s="6">
        <v>11</v>
      </c>
      <c r="J44" s="6">
        <v>0.85</v>
      </c>
      <c r="K44" s="6">
        <v>5000</v>
      </c>
      <c r="L44" s="6">
        <v>1400</v>
      </c>
      <c r="M44" s="6">
        <v>44.7</v>
      </c>
      <c r="N44" s="6">
        <f>$N43</f>
        <v>1.865</v>
      </c>
      <c r="O44" s="6">
        <f t="shared" ref="O44:O47" si="13">M44*N44</f>
        <v>83.365500000000011</v>
      </c>
      <c r="P44" s="10">
        <f t="shared" ref="P44:P47" si="14">((H44/100)*K44*L44)/I44*J44</f>
        <v>953.030303030303</v>
      </c>
      <c r="Q44" s="9">
        <f>(21.37+(C44/(E44*F44))*((0.0037*G44)+(0.0000601*P44)-(0.00362*O44)))</f>
        <v>21.150197714408677</v>
      </c>
      <c r="R44" s="11">
        <f>(44/28)*0.0075*(14/62)*Q44/N44</f>
        <v>3.0180598658457413E-2</v>
      </c>
    </row>
    <row r="45" spans="1:18" ht="17" customHeight="1">
      <c r="A45" s="6" t="s">
        <v>64</v>
      </c>
      <c r="B45" s="7">
        <v>18.5</v>
      </c>
      <c r="C45" s="7">
        <v>153.68</v>
      </c>
      <c r="D45" s="8">
        <v>21.1</v>
      </c>
      <c r="E45" s="8">
        <v>23.36</v>
      </c>
      <c r="F45" s="6">
        <v>0.9</v>
      </c>
      <c r="G45" s="9">
        <f>$G44</f>
        <v>53.716444444444434</v>
      </c>
      <c r="H45" s="9">
        <f t="shared" si="12"/>
        <v>0.46888888888888891</v>
      </c>
      <c r="I45" s="6">
        <v>11</v>
      </c>
      <c r="J45" s="6">
        <v>0.85</v>
      </c>
      <c r="K45" s="6">
        <v>5000</v>
      </c>
      <c r="L45" s="6">
        <v>1500</v>
      </c>
      <c r="M45" s="6">
        <v>44.7</v>
      </c>
      <c r="N45" s="6">
        <f>$N44</f>
        <v>1.865</v>
      </c>
      <c r="O45" s="6">
        <f t="shared" si="13"/>
        <v>83.365500000000011</v>
      </c>
      <c r="P45" s="10">
        <f t="shared" si="14"/>
        <v>2717.4242424242429</v>
      </c>
      <c r="Q45" s="9">
        <f>(21.37+(C45/(E45*F45))*((0.0037*G45)+(0.0000601*P45)-(0.00362*O45)))</f>
        <v>21.810667249796673</v>
      </c>
      <c r="R45" s="11">
        <f>(44/28)*0.0075*(14/62)*Q45/N45</f>
        <v>3.1123065780649058E-2</v>
      </c>
    </row>
    <row r="46" spans="1:18" ht="17" customHeight="1">
      <c r="A46" s="6" t="s">
        <v>65</v>
      </c>
      <c r="B46" s="7">
        <v>16.32</v>
      </c>
      <c r="C46" s="7">
        <v>340.51</v>
      </c>
      <c r="D46" s="8">
        <v>29.5</v>
      </c>
      <c r="E46" s="8">
        <v>23.29</v>
      </c>
      <c r="F46" s="6">
        <v>0.9</v>
      </c>
      <c r="G46" s="9">
        <f>$G45</f>
        <v>53.716444444444434</v>
      </c>
      <c r="H46" s="9">
        <f t="shared" si="12"/>
        <v>0.65555555555555556</v>
      </c>
      <c r="I46" s="6">
        <v>11</v>
      </c>
      <c r="J46" s="6">
        <v>0.85</v>
      </c>
      <c r="K46" s="6">
        <v>5000</v>
      </c>
      <c r="L46" s="6">
        <v>1500</v>
      </c>
      <c r="M46" s="6">
        <v>44.7</v>
      </c>
      <c r="N46" s="6">
        <f>$N45</f>
        <v>1.865</v>
      </c>
      <c r="O46" s="6">
        <f t="shared" si="13"/>
        <v>83.365500000000011</v>
      </c>
      <c r="P46" s="10">
        <f t="shared" si="14"/>
        <v>3799.2424242424236</v>
      </c>
      <c r="Q46" s="9">
        <f>(21.37+(C46/(E46*F46))*((0.0037*G46)+(0.0000601*P46)-(0.00362*O46)))</f>
        <v>23.40552566825022</v>
      </c>
      <c r="R46" s="11">
        <f>(44/28)*0.0075*(14/62)*Q46/N46</f>
        <v>3.339887343475989E-2</v>
      </c>
    </row>
    <row r="47" spans="1:18" ht="17" customHeight="1">
      <c r="A47" s="6" t="s">
        <v>67</v>
      </c>
      <c r="B47" s="7">
        <v>17.07</v>
      </c>
      <c r="C47" s="7">
        <v>527.73</v>
      </c>
      <c r="D47" s="8">
        <v>40.1</v>
      </c>
      <c r="E47" s="8">
        <v>28.22</v>
      </c>
      <c r="F47" s="6">
        <v>0.9</v>
      </c>
      <c r="G47" s="9">
        <f>$G46</f>
        <v>53.716444444444434</v>
      </c>
      <c r="H47" s="9">
        <f t="shared" si="12"/>
        <v>0.89111111111111108</v>
      </c>
      <c r="I47" s="6">
        <v>11</v>
      </c>
      <c r="J47" s="6">
        <v>0.85</v>
      </c>
      <c r="K47" s="6">
        <v>5000</v>
      </c>
      <c r="L47" s="6">
        <v>1500</v>
      </c>
      <c r="M47" s="6">
        <v>44.7</v>
      </c>
      <c r="N47" s="6">
        <f>$N46</f>
        <v>1.865</v>
      </c>
      <c r="O47" s="6">
        <f t="shared" si="13"/>
        <v>83.365500000000011</v>
      </c>
      <c r="P47" s="10">
        <f t="shared" si="14"/>
        <v>5164.393939393939</v>
      </c>
      <c r="Q47" s="9">
        <f>(21.37+(C47/(E47*F47))*((0.0037*G47)+(0.0000601*P47)-(0.00362*O47)))</f>
        <v>25.678357346165527</v>
      </c>
      <c r="R47" s="11">
        <f>(44/28)*0.0075*(14/62)*Q47/N47</f>
        <v>3.6642125418293786E-2</v>
      </c>
    </row>
    <row r="48" spans="1:18" ht="17" customHeight="1">
      <c r="A48" s="12"/>
      <c r="E48" s="19"/>
      <c r="F48" s="19"/>
      <c r="P48" s="16" t="s">
        <v>59</v>
      </c>
      <c r="Q48" s="17">
        <f>AVERAGE(Q43:Q47)</f>
        <v>22.998970980786286</v>
      </c>
      <c r="R48" s="18">
        <f>AVERAGE(R43:R47)</f>
        <v>3.2818733994895238E-2</v>
      </c>
    </row>
    <row r="50" spans="1:18" ht="17" customHeight="1">
      <c r="A50" s="22" t="s">
        <v>108</v>
      </c>
    </row>
    <row r="51" spans="1:18" ht="41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4" t="s">
        <v>129</v>
      </c>
      <c r="M51" s="27" t="s">
        <v>82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8" ht="17" customHeight="1">
      <c r="A52" s="6" t="s">
        <v>66</v>
      </c>
      <c r="B52" s="7">
        <v>17.52</v>
      </c>
      <c r="C52" s="7">
        <v>267.79000000000002</v>
      </c>
      <c r="D52" s="8">
        <v>30.8</v>
      </c>
      <c r="E52" s="32">
        <v>25.49</v>
      </c>
      <c r="F52" s="6">
        <v>0.9</v>
      </c>
      <c r="G52" s="9">
        <f>'Summary N2O from residue'!H14*1000</f>
        <v>63.920888888888889</v>
      </c>
      <c r="H52" s="9">
        <f>D52*100/(3000*L52/1000)</f>
        <v>0.68444444444444441</v>
      </c>
      <c r="I52" s="6">
        <v>11</v>
      </c>
      <c r="J52" s="6">
        <v>0.85</v>
      </c>
      <c r="K52" s="6">
        <v>5000</v>
      </c>
      <c r="L52" s="6">
        <v>1500</v>
      </c>
      <c r="M52" s="6">
        <v>44.7</v>
      </c>
      <c r="N52" s="6">
        <f>N43</f>
        <v>1.865</v>
      </c>
      <c r="O52" s="6">
        <f>M52*N52</f>
        <v>83.365500000000011</v>
      </c>
      <c r="P52" s="10">
        <f>((H52/100)*K52*L52)/I52*J52</f>
        <v>3966.666666666667</v>
      </c>
      <c r="Q52" s="9">
        <f>(21.37+(C52/(E52*F52))*((0.0037*G52)+(0.0000601*P52)-(0.00362*O52)))</f>
        <v>23.390837419089063</v>
      </c>
      <c r="R52" s="11">
        <f>(44/28)*0.0075*(14/62)*Q52/N52</f>
        <v>3.3377913812589248E-2</v>
      </c>
    </row>
    <row r="53" spans="1:18" ht="17" customHeight="1">
      <c r="A53" s="6" t="s">
        <v>76</v>
      </c>
      <c r="B53" s="7">
        <v>22.77</v>
      </c>
      <c r="C53" s="7">
        <v>70.3</v>
      </c>
      <c r="D53" s="8">
        <v>7.4</v>
      </c>
      <c r="E53" s="8">
        <v>16.260000000000002</v>
      </c>
      <c r="F53" s="6">
        <v>0.9</v>
      </c>
      <c r="G53" s="9">
        <f>$G52</f>
        <v>63.920888888888889</v>
      </c>
      <c r="H53" s="9">
        <f t="shared" ref="H53:H56" si="15">D53*100/(3000*L53/1000)</f>
        <v>0.1761904761904762</v>
      </c>
      <c r="I53" s="6">
        <v>11</v>
      </c>
      <c r="J53" s="6">
        <v>0.85</v>
      </c>
      <c r="K53" s="6">
        <v>5000</v>
      </c>
      <c r="L53" s="6">
        <v>1400</v>
      </c>
      <c r="M53" s="6">
        <v>44.7</v>
      </c>
      <c r="N53" s="6">
        <f>$N52</f>
        <v>1.865</v>
      </c>
      <c r="O53" s="6">
        <f t="shared" ref="O53:O56" si="16">M53*N53</f>
        <v>83.365500000000011</v>
      </c>
      <c r="P53" s="10">
        <f t="shared" ref="P53:P56" si="17">((H53/100)*K53*L53)/I53*J53</f>
        <v>953.030303030303</v>
      </c>
      <c r="Q53" s="9">
        <f>(21.37+(C53/(E53*F53))*((0.0037*G53)+(0.0000601*P53)-(0.00362*O53)))</f>
        <v>21.331575194553849</v>
      </c>
      <c r="R53" s="11">
        <f>(44/28)*0.0075*(14/62)*Q53/N53</f>
        <v>3.0439418032529485E-2</v>
      </c>
    </row>
    <row r="54" spans="1:18" ht="17" customHeight="1">
      <c r="A54" s="6" t="s">
        <v>64</v>
      </c>
      <c r="B54" s="7">
        <v>18.5</v>
      </c>
      <c r="C54" s="7">
        <v>153.68</v>
      </c>
      <c r="D54" s="8">
        <v>21.1</v>
      </c>
      <c r="E54" s="8">
        <v>23.36</v>
      </c>
      <c r="F54" s="6">
        <v>0.9</v>
      </c>
      <c r="G54" s="9">
        <f>$G53</f>
        <v>63.920888888888889</v>
      </c>
      <c r="H54" s="9">
        <f t="shared" si="15"/>
        <v>0.46888888888888891</v>
      </c>
      <c r="I54" s="6">
        <v>11</v>
      </c>
      <c r="J54" s="6">
        <v>0.85</v>
      </c>
      <c r="K54" s="6">
        <v>5000</v>
      </c>
      <c r="L54" s="6">
        <v>1500</v>
      </c>
      <c r="M54" s="6">
        <v>44.7</v>
      </c>
      <c r="N54" s="6">
        <f>$N53</f>
        <v>1.865</v>
      </c>
      <c r="O54" s="6">
        <f t="shared" si="16"/>
        <v>83.365500000000011</v>
      </c>
      <c r="P54" s="10">
        <f t="shared" si="17"/>
        <v>2717.4242424242429</v>
      </c>
      <c r="Q54" s="9">
        <f>(21.37+(C54/(E54*F54))*((0.0037*G54)+(0.0000601*P54)-(0.00362*O54)))</f>
        <v>22.086657089133727</v>
      </c>
      <c r="R54" s="11">
        <f>(44/28)*0.0075*(14/62)*Q54/N54</f>
        <v>3.1516893710170926E-2</v>
      </c>
    </row>
    <row r="55" spans="1:18" ht="17" customHeight="1">
      <c r="A55" s="6" t="s">
        <v>65</v>
      </c>
      <c r="B55" s="7">
        <v>16.32</v>
      </c>
      <c r="C55" s="7">
        <v>340.51</v>
      </c>
      <c r="D55" s="8">
        <v>29.5</v>
      </c>
      <c r="E55" s="8">
        <v>23.29</v>
      </c>
      <c r="F55" s="6">
        <v>0.9</v>
      </c>
      <c r="G55" s="9">
        <f>$G54</f>
        <v>63.920888888888889</v>
      </c>
      <c r="H55" s="9">
        <f t="shared" si="15"/>
        <v>0.65555555555555556</v>
      </c>
      <c r="I55" s="6">
        <v>11</v>
      </c>
      <c r="J55" s="6">
        <v>0.85</v>
      </c>
      <c r="K55" s="6">
        <v>5000</v>
      </c>
      <c r="L55" s="6">
        <v>1500</v>
      </c>
      <c r="M55" s="6">
        <v>44.7</v>
      </c>
      <c r="N55" s="6">
        <f>$N54</f>
        <v>1.865</v>
      </c>
      <c r="O55" s="6">
        <f t="shared" si="16"/>
        <v>83.365500000000011</v>
      </c>
      <c r="P55" s="10">
        <f t="shared" si="17"/>
        <v>3799.2424242424236</v>
      </c>
      <c r="Q55" s="9">
        <f>(21.37+(C55/(E55*F55))*((0.0037*G55)+(0.0000601*P55)-(0.00362*O55)))</f>
        <v>24.01887650541342</v>
      </c>
      <c r="R55" s="11">
        <f>(44/28)*0.0075*(14/62)*Q55/N55</f>
        <v>3.4274103808641473E-2</v>
      </c>
    </row>
    <row r="56" spans="1:18" ht="17" customHeight="1">
      <c r="A56" s="6" t="s">
        <v>67</v>
      </c>
      <c r="B56" s="7">
        <v>17.07</v>
      </c>
      <c r="C56" s="7">
        <v>527.73</v>
      </c>
      <c r="D56" s="8">
        <v>40.1</v>
      </c>
      <c r="E56" s="8">
        <v>28.22</v>
      </c>
      <c r="F56" s="6">
        <v>0.9</v>
      </c>
      <c r="G56" s="9">
        <f>$G55</f>
        <v>63.920888888888889</v>
      </c>
      <c r="H56" s="9">
        <f t="shared" si="15"/>
        <v>0.89111111111111108</v>
      </c>
      <c r="I56" s="6">
        <v>11</v>
      </c>
      <c r="J56" s="6">
        <v>0.85</v>
      </c>
      <c r="K56" s="6">
        <v>5000</v>
      </c>
      <c r="L56" s="6">
        <v>1500</v>
      </c>
      <c r="M56" s="6">
        <v>44.7</v>
      </c>
      <c r="N56" s="6">
        <f>$N55</f>
        <v>1.865</v>
      </c>
      <c r="O56" s="6">
        <f t="shared" si="16"/>
        <v>83.365500000000011</v>
      </c>
      <c r="P56" s="10">
        <f t="shared" si="17"/>
        <v>5164.393939393939</v>
      </c>
      <c r="Q56" s="9">
        <f>(21.37+(C56/(E56*F56))*((0.0037*G56)+(0.0000601*P56)-(0.00362*O56)))</f>
        <v>26.46287614397113</v>
      </c>
      <c r="R56" s="11">
        <f>(44/28)*0.0075*(14/62)*Q56/N56</f>
        <v>3.7761606535978862E-2</v>
      </c>
    </row>
    <row r="57" spans="1:18" ht="17" customHeight="1">
      <c r="A57" s="12"/>
      <c r="E57" s="19"/>
      <c r="F57" s="19"/>
      <c r="P57" s="16" t="s">
        <v>59</v>
      </c>
      <c r="Q57" s="17">
        <f>AVERAGE(Q52:Q56)</f>
        <v>23.458164470432237</v>
      </c>
      <c r="R57" s="18">
        <f>AVERAGE(R52:R56)</f>
        <v>3.3473987179981998E-2</v>
      </c>
    </row>
    <row r="59" spans="1:18" ht="17" customHeight="1">
      <c r="A59" s="22" t="s">
        <v>107</v>
      </c>
    </row>
    <row r="60" spans="1:18" ht="41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4" t="s">
        <v>129</v>
      </c>
      <c r="M60" s="27" t="s">
        <v>82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7" customHeight="1">
      <c r="A61" s="6" t="s">
        <v>66</v>
      </c>
      <c r="B61" s="7">
        <v>17.52</v>
      </c>
      <c r="C61" s="7">
        <v>267.79000000000002</v>
      </c>
      <c r="D61" s="8">
        <v>30.8</v>
      </c>
      <c r="E61" s="32">
        <v>25.49</v>
      </c>
      <c r="F61" s="6">
        <v>0.9</v>
      </c>
      <c r="G61" s="9">
        <f>'Summary N2O from residue'!H15*1000</f>
        <v>74.12533333333333</v>
      </c>
      <c r="H61" s="9">
        <f>D61*100/(3000*L61/1000)</f>
        <v>0.68444444444444441</v>
      </c>
      <c r="I61" s="6">
        <v>11</v>
      </c>
      <c r="J61" s="6">
        <v>0.85</v>
      </c>
      <c r="K61" s="6">
        <v>5000</v>
      </c>
      <c r="L61" s="6">
        <v>1500</v>
      </c>
      <c r="M61" s="6">
        <v>44.7</v>
      </c>
      <c r="N61" s="6">
        <f>N52</f>
        <v>1.865</v>
      </c>
      <c r="O61" s="6">
        <f>M61*N61</f>
        <v>83.365500000000011</v>
      </c>
      <c r="P61" s="10">
        <f>((H61/100)*K61*L61)/I61*J61</f>
        <v>3966.666666666667</v>
      </c>
      <c r="Q61" s="9">
        <f>(21.37+(C61/(E61*F61))*((0.0037*G61)+(0.0000601*P61)-(0.00362*O61)))</f>
        <v>23.831567912867794</v>
      </c>
      <c r="R61" s="11">
        <f>(44/28)*0.0075*(14/62)*Q61/N61</f>
        <v>3.4006820942862455E-2</v>
      </c>
    </row>
    <row r="62" spans="1:18" ht="17" customHeight="1">
      <c r="A62" s="6" t="s">
        <v>76</v>
      </c>
      <c r="B62" s="7">
        <v>22.77</v>
      </c>
      <c r="C62" s="7">
        <v>70.3</v>
      </c>
      <c r="D62" s="8">
        <v>7.4</v>
      </c>
      <c r="E62" s="8">
        <v>16.260000000000002</v>
      </c>
      <c r="F62" s="6">
        <v>0.9</v>
      </c>
      <c r="G62" s="9">
        <f>$G61</f>
        <v>74.12533333333333</v>
      </c>
      <c r="H62" s="9">
        <f t="shared" ref="H62:H65" si="18">D62*100/(3000*L62/1000)</f>
        <v>0.1761904761904762</v>
      </c>
      <c r="I62" s="6">
        <v>11</v>
      </c>
      <c r="J62" s="6">
        <v>0.85</v>
      </c>
      <c r="K62" s="6">
        <v>5000</v>
      </c>
      <c r="L62" s="6">
        <v>1400</v>
      </c>
      <c r="M62" s="6">
        <v>44.7</v>
      </c>
      <c r="N62" s="6">
        <f>$N61</f>
        <v>1.865</v>
      </c>
      <c r="O62" s="6">
        <f t="shared" ref="O62:O65" si="19">M62*N62</f>
        <v>83.365500000000011</v>
      </c>
      <c r="P62" s="10">
        <f t="shared" ref="P62:P65" si="20">((H62/100)*K62*L62)/I62*J62</f>
        <v>953.030303030303</v>
      </c>
      <c r="Q62" s="9">
        <f>(21.37+(C62/(E62*F62))*((0.0037*G62)+(0.0000601*P62)-(0.00362*O62)))</f>
        <v>21.512952674699019</v>
      </c>
      <c r="R62" s="11">
        <f>(44/28)*0.0075*(14/62)*Q62/N62</f>
        <v>3.0698237406601554E-2</v>
      </c>
    </row>
    <row r="63" spans="1:18" ht="17" customHeight="1">
      <c r="A63" s="6" t="s">
        <v>64</v>
      </c>
      <c r="B63" s="7">
        <v>18.5</v>
      </c>
      <c r="C63" s="7">
        <v>153.68</v>
      </c>
      <c r="D63" s="8">
        <v>21.1</v>
      </c>
      <c r="E63" s="8">
        <v>23.36</v>
      </c>
      <c r="F63" s="6">
        <v>0.9</v>
      </c>
      <c r="G63" s="9">
        <f>$G62</f>
        <v>74.12533333333333</v>
      </c>
      <c r="H63" s="9">
        <f t="shared" si="18"/>
        <v>0.46888888888888891</v>
      </c>
      <c r="I63" s="6">
        <v>11</v>
      </c>
      <c r="J63" s="6">
        <v>0.85</v>
      </c>
      <c r="K63" s="6">
        <v>5000</v>
      </c>
      <c r="L63" s="6">
        <v>1500</v>
      </c>
      <c r="M63" s="6">
        <v>44.7</v>
      </c>
      <c r="N63" s="6">
        <f>$N62</f>
        <v>1.865</v>
      </c>
      <c r="O63" s="6">
        <f t="shared" si="19"/>
        <v>83.365500000000011</v>
      </c>
      <c r="P63" s="10">
        <f t="shared" si="20"/>
        <v>2717.4242424242429</v>
      </c>
      <c r="Q63" s="9">
        <f>(21.37+(C63/(E63*F63))*((0.0037*G63)+(0.0000601*P63)-(0.00362*O63)))</f>
        <v>22.362646928470781</v>
      </c>
      <c r="R63" s="11">
        <f>(44/28)*0.0075*(14/62)*Q63/N63</f>
        <v>3.1910721639692795E-2</v>
      </c>
    </row>
    <row r="64" spans="1:18" ht="17" customHeight="1">
      <c r="A64" s="6" t="s">
        <v>65</v>
      </c>
      <c r="B64" s="7">
        <v>16.32</v>
      </c>
      <c r="C64" s="7">
        <v>340.51</v>
      </c>
      <c r="D64" s="8">
        <v>29.5</v>
      </c>
      <c r="E64" s="8">
        <v>23.29</v>
      </c>
      <c r="F64" s="6">
        <v>0.9</v>
      </c>
      <c r="G64" s="9">
        <f>$G63</f>
        <v>74.12533333333333</v>
      </c>
      <c r="H64" s="9">
        <f t="shared" si="18"/>
        <v>0.65555555555555556</v>
      </c>
      <c r="I64" s="6">
        <v>11</v>
      </c>
      <c r="J64" s="6">
        <v>0.85</v>
      </c>
      <c r="K64" s="6">
        <v>5000</v>
      </c>
      <c r="L64" s="6">
        <v>1500</v>
      </c>
      <c r="M64" s="6">
        <v>44.7</v>
      </c>
      <c r="N64" s="6">
        <f>$N63</f>
        <v>1.865</v>
      </c>
      <c r="O64" s="6">
        <f t="shared" si="19"/>
        <v>83.365500000000011</v>
      </c>
      <c r="P64" s="10">
        <f t="shared" si="20"/>
        <v>3799.2424242424236</v>
      </c>
      <c r="Q64" s="9">
        <f>(21.37+(C64/(E64*F64))*((0.0037*G64)+(0.0000601*P64)-(0.00362*O64)))</f>
        <v>24.632227342576616</v>
      </c>
      <c r="R64" s="11">
        <f>(44/28)*0.0075*(14/62)*Q64/N64</f>
        <v>3.5149334182523057E-2</v>
      </c>
    </row>
    <row r="65" spans="1:18" ht="17" customHeight="1">
      <c r="A65" s="6" t="s">
        <v>67</v>
      </c>
      <c r="B65" s="7">
        <v>17.07</v>
      </c>
      <c r="C65" s="7">
        <v>527.73</v>
      </c>
      <c r="D65" s="8">
        <v>40.1</v>
      </c>
      <c r="E65" s="8">
        <v>28.22</v>
      </c>
      <c r="F65" s="6">
        <v>0.9</v>
      </c>
      <c r="G65" s="9">
        <f>$G64</f>
        <v>74.12533333333333</v>
      </c>
      <c r="H65" s="9">
        <f t="shared" si="18"/>
        <v>0.89111111111111108</v>
      </c>
      <c r="I65" s="6">
        <v>11</v>
      </c>
      <c r="J65" s="6">
        <v>0.85</v>
      </c>
      <c r="K65" s="6">
        <v>5000</v>
      </c>
      <c r="L65" s="6">
        <v>1500</v>
      </c>
      <c r="M65" s="6">
        <v>44.7</v>
      </c>
      <c r="N65" s="6">
        <f>$N64</f>
        <v>1.865</v>
      </c>
      <c r="O65" s="6">
        <f t="shared" si="19"/>
        <v>83.365500000000011</v>
      </c>
      <c r="P65" s="10">
        <f t="shared" si="20"/>
        <v>5164.393939393939</v>
      </c>
      <c r="Q65" s="11">
        <f>(21.37+(C65/(E65*F65))*((0.0037*G65)+(0.0000601*P65)-(0.00362*O65)))</f>
        <v>27.247394941776733</v>
      </c>
      <c r="R65" s="11">
        <f>(44/28)*0.0075*(14/62)*Q65/N65</f>
        <v>3.888108765366393E-2</v>
      </c>
    </row>
    <row r="66" spans="1:18" ht="17" customHeight="1">
      <c r="A66" s="12"/>
      <c r="E66" s="19"/>
      <c r="F66" s="19"/>
      <c r="P66" s="16" t="s">
        <v>59</v>
      </c>
      <c r="Q66" s="17">
        <f>AVERAGE(Q61:Q65)</f>
        <v>23.917357960078188</v>
      </c>
      <c r="R66" s="18">
        <f>AVERAGE(R61:R65)</f>
        <v>3.4129240365068758E-2</v>
      </c>
    </row>
    <row r="68" spans="1:18" ht="17" customHeight="1">
      <c r="A68" s="22" t="s">
        <v>106</v>
      </c>
    </row>
    <row r="69" spans="1:18" ht="41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4" t="s">
        <v>129</v>
      </c>
      <c r="M69" s="27" t="s">
        <v>82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7" customHeight="1">
      <c r="A70" s="6" t="s">
        <v>66</v>
      </c>
      <c r="B70" s="7">
        <v>17.52</v>
      </c>
      <c r="C70" s="7">
        <v>267.79000000000002</v>
      </c>
      <c r="D70" s="8">
        <v>30.8</v>
      </c>
      <c r="E70" s="32">
        <v>25.49</v>
      </c>
      <c r="F70" s="6">
        <v>0.9</v>
      </c>
      <c r="G70" s="9">
        <f>'Summary N2O from residue'!H16*1000</f>
        <v>75.47244444444442</v>
      </c>
      <c r="H70" s="9">
        <f>D70*100/(3000*L70/1000)</f>
        <v>0.68444444444444441</v>
      </c>
      <c r="I70" s="6">
        <v>11</v>
      </c>
      <c r="J70" s="6">
        <v>0.85</v>
      </c>
      <c r="K70" s="6">
        <v>5000</v>
      </c>
      <c r="L70" s="6">
        <v>1500</v>
      </c>
      <c r="M70" s="6">
        <v>44.7</v>
      </c>
      <c r="N70" s="6">
        <f>N61</f>
        <v>1.865</v>
      </c>
      <c r="O70" s="6">
        <f>M70*N70</f>
        <v>83.365500000000011</v>
      </c>
      <c r="P70" s="10">
        <f>((H70/100)*K70*L70)/I70*J70</f>
        <v>3966.666666666667</v>
      </c>
      <c r="Q70" s="9">
        <f>(21.37+(C70/(E70*F70))*((0.0037*G70)+(0.0000601*P70)-(0.00362*O70)))</f>
        <v>23.889749712808701</v>
      </c>
      <c r="R70" s="11">
        <f>(44/28)*0.0075*(14/62)*Q70/N70</f>
        <v>3.408984435365766E-2</v>
      </c>
    </row>
    <row r="71" spans="1:18" ht="17" customHeight="1">
      <c r="A71" s="6" t="s">
        <v>76</v>
      </c>
      <c r="B71" s="7">
        <v>22.77</v>
      </c>
      <c r="C71" s="7">
        <v>70.3</v>
      </c>
      <c r="D71" s="8">
        <v>7.4</v>
      </c>
      <c r="E71" s="8">
        <v>16.260000000000002</v>
      </c>
      <c r="F71" s="6">
        <v>0.9</v>
      </c>
      <c r="G71" s="9">
        <f>$G70</f>
        <v>75.47244444444442</v>
      </c>
      <c r="H71" s="9">
        <f t="shared" ref="H71:H74" si="21">D71*100/(3000*L71/1000)</f>
        <v>0.1761904761904762</v>
      </c>
      <c r="I71" s="6">
        <v>11</v>
      </c>
      <c r="J71" s="6">
        <v>0.85</v>
      </c>
      <c r="K71" s="6">
        <v>5000</v>
      </c>
      <c r="L71" s="6">
        <v>1400</v>
      </c>
      <c r="M71" s="6">
        <v>44.7</v>
      </c>
      <c r="N71" s="6">
        <f>$N70</f>
        <v>1.865</v>
      </c>
      <c r="O71" s="6">
        <f t="shared" ref="O71:O74" si="22">M71*N71</f>
        <v>83.365500000000011</v>
      </c>
      <c r="P71" s="10">
        <f t="shared" ref="P71:P74" si="23">((H71/100)*K71*L71)/I71*J71</f>
        <v>953.030303030303</v>
      </c>
      <c r="Q71" s="9">
        <f>(21.37+(C71/(E71*F71))*((0.0037*G71)+(0.0000601*P71)-(0.00362*O71)))</f>
        <v>21.536896713998672</v>
      </c>
      <c r="R71" s="11">
        <f>(44/28)*0.0075*(14/62)*Q71/N71</f>
        <v>3.0732404720312897E-2</v>
      </c>
    </row>
    <row r="72" spans="1:18" ht="17" customHeight="1">
      <c r="A72" s="6" t="s">
        <v>64</v>
      </c>
      <c r="B72" s="7">
        <v>18.5</v>
      </c>
      <c r="C72" s="7">
        <v>153.68</v>
      </c>
      <c r="D72" s="8">
        <v>21.1</v>
      </c>
      <c r="E72" s="8">
        <v>23.36</v>
      </c>
      <c r="F72" s="6">
        <v>0.9</v>
      </c>
      <c r="G72" s="9">
        <f>$G71</f>
        <v>75.47244444444442</v>
      </c>
      <c r="H72" s="9">
        <f t="shared" si="21"/>
        <v>0.46888888888888891</v>
      </c>
      <c r="I72" s="6">
        <v>11</v>
      </c>
      <c r="J72" s="6">
        <v>0.85</v>
      </c>
      <c r="K72" s="6">
        <v>5000</v>
      </c>
      <c r="L72" s="6">
        <v>1500</v>
      </c>
      <c r="M72" s="6">
        <v>44.7</v>
      </c>
      <c r="N72" s="6">
        <f>$N71</f>
        <v>1.865</v>
      </c>
      <c r="O72" s="6">
        <f t="shared" si="22"/>
        <v>83.365500000000011</v>
      </c>
      <c r="P72" s="10">
        <f t="shared" si="23"/>
        <v>2717.4242424242429</v>
      </c>
      <c r="Q72" s="9">
        <f>(21.37+(C72/(E72*F72))*((0.0037*G72)+(0.0000601*P72)-(0.00362*O72)))</f>
        <v>22.399080952993021</v>
      </c>
      <c r="R72" s="11">
        <f>(44/28)*0.0075*(14/62)*Q72/N72</f>
        <v>3.1962711729169313E-2</v>
      </c>
    </row>
    <row r="73" spans="1:18" ht="17" customHeight="1">
      <c r="A73" s="6" t="s">
        <v>65</v>
      </c>
      <c r="B73" s="7">
        <v>16.32</v>
      </c>
      <c r="C73" s="7">
        <v>340.51</v>
      </c>
      <c r="D73" s="8">
        <v>29.5</v>
      </c>
      <c r="E73" s="8">
        <v>23.29</v>
      </c>
      <c r="F73" s="6">
        <v>0.9</v>
      </c>
      <c r="G73" s="9">
        <f>$G72</f>
        <v>75.47244444444442</v>
      </c>
      <c r="H73" s="9">
        <f t="shared" si="21"/>
        <v>0.65555555555555556</v>
      </c>
      <c r="I73" s="6">
        <v>11</v>
      </c>
      <c r="J73" s="6">
        <v>0.85</v>
      </c>
      <c r="K73" s="6">
        <v>5000</v>
      </c>
      <c r="L73" s="6">
        <v>1500</v>
      </c>
      <c r="M73" s="6">
        <v>44.7</v>
      </c>
      <c r="N73" s="6">
        <f>$N72</f>
        <v>1.865</v>
      </c>
      <c r="O73" s="6">
        <f t="shared" si="22"/>
        <v>83.365500000000011</v>
      </c>
      <c r="P73" s="10">
        <f t="shared" si="23"/>
        <v>3799.2424242424236</v>
      </c>
      <c r="Q73" s="9">
        <f>(21.37+(C73/(E73*F73))*((0.0037*G73)+(0.0000601*P73)-(0.00362*O73)))</f>
        <v>24.713197132970414</v>
      </c>
      <c r="R73" s="11">
        <f>(44/28)*0.0075*(14/62)*Q73/N73</f>
        <v>3.5264875265416572E-2</v>
      </c>
    </row>
    <row r="74" spans="1:18" ht="17" customHeight="1">
      <c r="A74" s="6" t="s">
        <v>67</v>
      </c>
      <c r="B74" s="7">
        <v>17.07</v>
      </c>
      <c r="C74" s="7">
        <v>527.73</v>
      </c>
      <c r="D74" s="8">
        <v>40.1</v>
      </c>
      <c r="E74" s="8">
        <v>28.22</v>
      </c>
      <c r="F74" s="6">
        <v>0.9</v>
      </c>
      <c r="G74" s="9">
        <f>$G73</f>
        <v>75.47244444444442</v>
      </c>
      <c r="H74" s="9">
        <f t="shared" si="21"/>
        <v>0.89111111111111108</v>
      </c>
      <c r="I74" s="6">
        <v>11</v>
      </c>
      <c r="J74" s="6">
        <v>0.85</v>
      </c>
      <c r="K74" s="6">
        <v>5000</v>
      </c>
      <c r="L74" s="6">
        <v>1500</v>
      </c>
      <c r="M74" s="6">
        <v>44.7</v>
      </c>
      <c r="N74" s="6">
        <f>$N73</f>
        <v>1.865</v>
      </c>
      <c r="O74" s="6">
        <f t="shared" si="22"/>
        <v>83.365500000000011</v>
      </c>
      <c r="P74" s="10">
        <f t="shared" si="23"/>
        <v>5164.393939393939</v>
      </c>
      <c r="Q74" s="11">
        <f>(21.37+(C74/(E74*F74))*((0.0037*G74)+(0.0000601*P74)-(0.00362*O74)))</f>
        <v>27.350960990389481</v>
      </c>
      <c r="R74" s="11">
        <f>(44/28)*0.0075*(14/62)*Q74/N74</f>
        <v>3.9028872813407112E-2</v>
      </c>
    </row>
    <row r="75" spans="1:18" ht="17" customHeight="1">
      <c r="A75" s="12"/>
      <c r="E75" s="19"/>
      <c r="F75" s="19"/>
      <c r="P75" s="16" t="s">
        <v>59</v>
      </c>
      <c r="Q75" s="17">
        <f>AVERAGE(Q70:Q74)</f>
        <v>23.97797710063206</v>
      </c>
      <c r="R75" s="18">
        <f>AVERAGE(R70:R74)</f>
        <v>3.4215741776392708E-2</v>
      </c>
    </row>
    <row r="77" spans="1:18" ht="17" customHeight="1">
      <c r="A77" s="22" t="s">
        <v>105</v>
      </c>
    </row>
    <row r="78" spans="1:18" ht="41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4" t="s">
        <v>129</v>
      </c>
      <c r="M78" s="27" t="s">
        <v>82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7" customHeight="1">
      <c r="A79" s="6" t="s">
        <v>66</v>
      </c>
      <c r="B79" s="7">
        <v>17.52</v>
      </c>
      <c r="C79" s="7">
        <v>267.79000000000002</v>
      </c>
      <c r="D79" s="8">
        <v>30.8</v>
      </c>
      <c r="E79" s="32">
        <v>25.49</v>
      </c>
      <c r="F79" s="6">
        <v>0.9</v>
      </c>
      <c r="G79" s="9">
        <f>'Summary N2O from residue'!H17*1000</f>
        <v>85.676888888888868</v>
      </c>
      <c r="H79" s="9">
        <f>D79*100/(3000*L79/1000)</f>
        <v>0.68444444444444441</v>
      </c>
      <c r="I79" s="6">
        <v>11</v>
      </c>
      <c r="J79" s="6">
        <v>0.85</v>
      </c>
      <c r="K79" s="6">
        <v>5000</v>
      </c>
      <c r="L79" s="6">
        <v>1500</v>
      </c>
      <c r="M79" s="6">
        <v>44.7</v>
      </c>
      <c r="N79" s="6">
        <f>N70</f>
        <v>1.865</v>
      </c>
      <c r="O79" s="6">
        <f>M79*N79</f>
        <v>83.365500000000011</v>
      </c>
      <c r="P79" s="10">
        <f>((H79/100)*K79*L79)/I79*J79</f>
        <v>3966.666666666667</v>
      </c>
      <c r="Q79" s="9">
        <f>(21.37+(C79/(E79*F79))*((0.0037*G79)+(0.0000601*P79)-(0.00362*O79)))</f>
        <v>24.330480206587431</v>
      </c>
      <c r="R79" s="11">
        <f>(44/28)*0.0075*(14/62)*Q79/N79</f>
        <v>3.471875148393086E-2</v>
      </c>
    </row>
    <row r="80" spans="1:18" ht="17" customHeight="1">
      <c r="A80" s="6" t="s">
        <v>76</v>
      </c>
      <c r="B80" s="7">
        <v>22.77</v>
      </c>
      <c r="C80" s="7">
        <v>70.3</v>
      </c>
      <c r="D80" s="8">
        <v>7.4</v>
      </c>
      <c r="E80" s="8">
        <v>16.260000000000002</v>
      </c>
      <c r="F80" s="6">
        <v>0.9</v>
      </c>
      <c r="G80" s="9">
        <f>$G79</f>
        <v>85.676888888888868</v>
      </c>
      <c r="H80" s="9">
        <f t="shared" ref="H80:H83" si="24">D80*100/(3000*L80/1000)</f>
        <v>0.1761904761904762</v>
      </c>
      <c r="I80" s="6">
        <v>11</v>
      </c>
      <c r="J80" s="6">
        <v>0.85</v>
      </c>
      <c r="K80" s="6">
        <v>5000</v>
      </c>
      <c r="L80" s="6">
        <v>1400</v>
      </c>
      <c r="M80" s="6">
        <v>44.7</v>
      </c>
      <c r="N80" s="6">
        <f>$N79</f>
        <v>1.865</v>
      </c>
      <c r="O80" s="6">
        <f t="shared" ref="O80:O83" si="25">M80*N80</f>
        <v>83.365500000000011</v>
      </c>
      <c r="P80" s="10">
        <f t="shared" ref="P80:P83" si="26">((H80/100)*K80*L80)/I80*J80</f>
        <v>953.030303030303</v>
      </c>
      <c r="Q80" s="9">
        <f>(21.37+(C80/(E80*F80))*((0.0037*G80)+(0.0000601*P80)-(0.00362*O80)))</f>
        <v>21.718274194143845</v>
      </c>
      <c r="R80" s="11">
        <f>(44/28)*0.0075*(14/62)*Q80/N80</f>
        <v>3.099122409438497E-2</v>
      </c>
    </row>
    <row r="81" spans="1:18" ht="17" customHeight="1">
      <c r="A81" s="6" t="s">
        <v>64</v>
      </c>
      <c r="B81" s="7">
        <v>18.5</v>
      </c>
      <c r="C81" s="7">
        <v>153.68</v>
      </c>
      <c r="D81" s="8">
        <v>21.1</v>
      </c>
      <c r="E81" s="8">
        <v>23.36</v>
      </c>
      <c r="F81" s="6">
        <v>0.9</v>
      </c>
      <c r="G81" s="9">
        <f>$G80</f>
        <v>85.676888888888868</v>
      </c>
      <c r="H81" s="9">
        <f t="shared" si="24"/>
        <v>0.46888888888888891</v>
      </c>
      <c r="I81" s="6">
        <v>11</v>
      </c>
      <c r="J81" s="6">
        <v>0.85</v>
      </c>
      <c r="K81" s="6">
        <v>5000</v>
      </c>
      <c r="L81" s="6">
        <v>1500</v>
      </c>
      <c r="M81" s="6">
        <v>44.7</v>
      </c>
      <c r="N81" s="6">
        <f>$N80</f>
        <v>1.865</v>
      </c>
      <c r="O81" s="6">
        <f t="shared" si="25"/>
        <v>83.365500000000011</v>
      </c>
      <c r="P81" s="10">
        <f t="shared" si="26"/>
        <v>2717.4242424242429</v>
      </c>
      <c r="Q81" s="9">
        <f>(21.37+(C81/(E81*F81))*((0.0037*G81)+(0.0000601*P81)-(0.00362*O81)))</f>
        <v>22.675070792330075</v>
      </c>
      <c r="R81" s="11">
        <f>(44/28)*0.0075*(14/62)*Q81/N81</f>
        <v>3.2356539658691182E-2</v>
      </c>
    </row>
    <row r="82" spans="1:18" ht="17" customHeight="1">
      <c r="A82" s="6" t="s">
        <v>65</v>
      </c>
      <c r="B82" s="7">
        <v>16.32</v>
      </c>
      <c r="C82" s="7">
        <v>340.51</v>
      </c>
      <c r="D82" s="8">
        <v>29.5</v>
      </c>
      <c r="E82" s="8">
        <v>23.29</v>
      </c>
      <c r="F82" s="6">
        <v>0.9</v>
      </c>
      <c r="G82" s="9">
        <f>$G81</f>
        <v>85.676888888888868</v>
      </c>
      <c r="H82" s="9">
        <f t="shared" si="24"/>
        <v>0.65555555555555556</v>
      </c>
      <c r="I82" s="6">
        <v>11</v>
      </c>
      <c r="J82" s="6">
        <v>0.85</v>
      </c>
      <c r="K82" s="6">
        <v>5000</v>
      </c>
      <c r="L82" s="6">
        <v>1500</v>
      </c>
      <c r="M82" s="6">
        <v>44.7</v>
      </c>
      <c r="N82" s="6">
        <f>$N81</f>
        <v>1.865</v>
      </c>
      <c r="O82" s="6">
        <f t="shared" si="25"/>
        <v>83.365500000000011</v>
      </c>
      <c r="P82" s="10">
        <f t="shared" si="26"/>
        <v>3799.2424242424236</v>
      </c>
      <c r="Q82" s="9">
        <f>(21.37+(C82/(E82*F82))*((0.0037*G82)+(0.0000601*P82)-(0.00362*O82)))</f>
        <v>25.326547970133614</v>
      </c>
      <c r="R82" s="11">
        <f>(44/28)*0.0075*(14/62)*Q82/N82</f>
        <v>3.6140105639298155E-2</v>
      </c>
    </row>
    <row r="83" spans="1:18" ht="17" customHeight="1">
      <c r="A83" s="6" t="s">
        <v>67</v>
      </c>
      <c r="B83" s="7">
        <v>17.07</v>
      </c>
      <c r="C83" s="7">
        <v>527.73</v>
      </c>
      <c r="D83" s="8">
        <v>40.1</v>
      </c>
      <c r="E83" s="8">
        <v>28.22</v>
      </c>
      <c r="F83" s="6">
        <v>0.9</v>
      </c>
      <c r="G83" s="9">
        <f>$G82</f>
        <v>85.676888888888868</v>
      </c>
      <c r="H83" s="9">
        <f t="shared" si="24"/>
        <v>0.89111111111111108</v>
      </c>
      <c r="I83" s="6">
        <v>11</v>
      </c>
      <c r="J83" s="6">
        <v>0.85</v>
      </c>
      <c r="K83" s="6">
        <v>5000</v>
      </c>
      <c r="L83" s="6">
        <v>1500</v>
      </c>
      <c r="M83" s="6">
        <v>44.7</v>
      </c>
      <c r="N83" s="6">
        <f>$N82</f>
        <v>1.865</v>
      </c>
      <c r="O83" s="6">
        <f t="shared" si="25"/>
        <v>83.365500000000011</v>
      </c>
      <c r="P83" s="10">
        <f t="shared" si="26"/>
        <v>5164.393939393939</v>
      </c>
      <c r="Q83" s="9">
        <f>(21.37+(C83/(E83*F83))*((0.0037*G83)+(0.0000601*P83)-(0.00362*O83)))</f>
        <v>28.135479788195084</v>
      </c>
      <c r="R83" s="11">
        <f>(44/28)*0.0075*(14/62)*Q83/N83</f>
        <v>4.0148353931092173E-2</v>
      </c>
    </row>
    <row r="84" spans="1:18" ht="17" customHeight="1">
      <c r="A84" s="12"/>
      <c r="E84" s="19"/>
      <c r="F84" s="19"/>
      <c r="P84" s="16" t="s">
        <v>59</v>
      </c>
      <c r="Q84" s="17">
        <f>AVERAGE(Q79:Q83)</f>
        <v>24.437170590278008</v>
      </c>
      <c r="R84" s="18">
        <f>AVERAGE(R79:R83)</f>
        <v>3.4870994961479468E-2</v>
      </c>
    </row>
    <row r="86" spans="1:18" ht="17" customHeight="1">
      <c r="A86" s="22" t="s">
        <v>104</v>
      </c>
    </row>
    <row r="87" spans="1:18" ht="41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4" t="s">
        <v>129</v>
      </c>
      <c r="M87" s="27" t="s">
        <v>82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7" customHeight="1">
      <c r="A88" s="6" t="s">
        <v>66</v>
      </c>
      <c r="B88" s="7">
        <v>17.52</v>
      </c>
      <c r="C88" s="7">
        <v>267.79000000000002</v>
      </c>
      <c r="D88" s="8">
        <v>30.8</v>
      </c>
      <c r="E88" s="32">
        <v>25.49</v>
      </c>
      <c r="F88" s="6">
        <v>0.9</v>
      </c>
      <c r="G88" s="9">
        <f>'Summary N2O from residue'!H18*1000</f>
        <v>95.881333333333316</v>
      </c>
      <c r="H88" s="9">
        <f>D88*100/(3000*L88/1000)</f>
        <v>0.68444444444444441</v>
      </c>
      <c r="I88" s="6">
        <v>11</v>
      </c>
      <c r="J88" s="6">
        <v>0.85</v>
      </c>
      <c r="K88" s="6">
        <v>5000</v>
      </c>
      <c r="L88" s="6">
        <v>1500</v>
      </c>
      <c r="M88" s="6">
        <v>44.7</v>
      </c>
      <c r="N88" s="6">
        <f>N79</f>
        <v>1.865</v>
      </c>
      <c r="O88" s="6">
        <f>M88*N88</f>
        <v>83.365500000000011</v>
      </c>
      <c r="P88" s="10">
        <f>((H88/100)*K88*L88)/I88*J88</f>
        <v>3966.666666666667</v>
      </c>
      <c r="Q88" s="9">
        <f>(21.37+(C88/(E88*F88))*((0.0037*G88)+(0.0000601*P88)-(0.00362*O88)))</f>
        <v>24.771210700366158</v>
      </c>
      <c r="R88" s="11">
        <f>(44/28)*0.0075*(14/62)*Q88/N88</f>
        <v>3.534765861420406E-2</v>
      </c>
    </row>
    <row r="89" spans="1:18" ht="17" customHeight="1">
      <c r="A89" s="6" t="s">
        <v>76</v>
      </c>
      <c r="B89" s="7">
        <v>22.77</v>
      </c>
      <c r="C89" s="7">
        <v>70.3</v>
      </c>
      <c r="D89" s="8">
        <v>7.4</v>
      </c>
      <c r="E89" s="8">
        <v>16.260000000000002</v>
      </c>
      <c r="F89" s="6">
        <v>0.9</v>
      </c>
      <c r="G89" s="9">
        <f>$G88</f>
        <v>95.881333333333316</v>
      </c>
      <c r="H89" s="9">
        <f t="shared" ref="H89:H92" si="27">D89*100/(3000*L89/1000)</f>
        <v>0.1761904761904762</v>
      </c>
      <c r="I89" s="6">
        <v>11</v>
      </c>
      <c r="J89" s="6">
        <v>0.85</v>
      </c>
      <c r="K89" s="6">
        <v>5000</v>
      </c>
      <c r="L89" s="6">
        <v>1400</v>
      </c>
      <c r="M89" s="6">
        <v>44.7</v>
      </c>
      <c r="N89" s="6">
        <f>$N88</f>
        <v>1.865</v>
      </c>
      <c r="O89" s="6">
        <f t="shared" ref="O89:O92" si="28">M89*N89</f>
        <v>83.365500000000011</v>
      </c>
      <c r="P89" s="10">
        <f t="shared" ref="P89:P92" si="29">((H89/100)*K89*L89)/I89*J89</f>
        <v>953.030303030303</v>
      </c>
      <c r="Q89" s="9">
        <f>(21.37+(C89/(E89*F89))*((0.0037*G89)+(0.0000601*P89)-(0.00362*O89)))</f>
        <v>21.899651674289018</v>
      </c>
      <c r="R89" s="11">
        <f>(44/28)*0.0075*(14/62)*Q89/N89</f>
        <v>3.1250043468457042E-2</v>
      </c>
    </row>
    <row r="90" spans="1:18" ht="17" customHeight="1">
      <c r="A90" s="6" t="s">
        <v>64</v>
      </c>
      <c r="B90" s="7">
        <v>18.5</v>
      </c>
      <c r="C90" s="7">
        <v>153.68</v>
      </c>
      <c r="D90" s="8">
        <v>21.1</v>
      </c>
      <c r="E90" s="8">
        <v>23.36</v>
      </c>
      <c r="F90" s="6">
        <v>0.9</v>
      </c>
      <c r="G90" s="9">
        <f>$G89</f>
        <v>95.881333333333316</v>
      </c>
      <c r="H90" s="9">
        <f t="shared" si="27"/>
        <v>0.46888888888888891</v>
      </c>
      <c r="I90" s="6">
        <v>11</v>
      </c>
      <c r="J90" s="6">
        <v>0.85</v>
      </c>
      <c r="K90" s="6">
        <v>5000</v>
      </c>
      <c r="L90" s="6">
        <v>1500</v>
      </c>
      <c r="M90" s="6">
        <v>44.7</v>
      </c>
      <c r="N90" s="6">
        <f>$N89</f>
        <v>1.865</v>
      </c>
      <c r="O90" s="6">
        <f t="shared" si="28"/>
        <v>83.365500000000011</v>
      </c>
      <c r="P90" s="10">
        <f t="shared" si="29"/>
        <v>2717.4242424242429</v>
      </c>
      <c r="Q90" s="9">
        <f>(21.37+(C90/(E90*F90))*((0.0037*G90)+(0.0000601*P90)-(0.00362*O90)))</f>
        <v>22.951060631667129</v>
      </c>
      <c r="R90" s="11">
        <f>(44/28)*0.0075*(14/62)*Q90/N90</f>
        <v>3.2750367588213057E-2</v>
      </c>
    </row>
    <row r="91" spans="1:18" ht="17" customHeight="1">
      <c r="A91" s="6" t="s">
        <v>65</v>
      </c>
      <c r="B91" s="7">
        <v>16.32</v>
      </c>
      <c r="C91" s="7">
        <v>340.51</v>
      </c>
      <c r="D91" s="8">
        <v>29.5</v>
      </c>
      <c r="E91" s="8">
        <v>23.29</v>
      </c>
      <c r="F91" s="6">
        <v>0.9</v>
      </c>
      <c r="G91" s="9">
        <f>$G90</f>
        <v>95.881333333333316</v>
      </c>
      <c r="H91" s="9">
        <f t="shared" si="27"/>
        <v>0.65555555555555556</v>
      </c>
      <c r="I91" s="6">
        <v>11</v>
      </c>
      <c r="J91" s="6">
        <v>0.85</v>
      </c>
      <c r="K91" s="6">
        <v>5000</v>
      </c>
      <c r="L91" s="6">
        <v>1500</v>
      </c>
      <c r="M91" s="6">
        <v>44.7</v>
      </c>
      <c r="N91" s="6">
        <f>$N90</f>
        <v>1.865</v>
      </c>
      <c r="O91" s="6">
        <f t="shared" si="28"/>
        <v>83.365500000000011</v>
      </c>
      <c r="P91" s="10">
        <f t="shared" si="29"/>
        <v>3799.2424242424236</v>
      </c>
      <c r="Q91" s="9">
        <f>(21.37+(C91/(E91*F91))*((0.0037*G91)+(0.0000601*P91)-(0.00362*O91)))</f>
        <v>25.939898807296814</v>
      </c>
      <c r="R91" s="11">
        <f>(44/28)*0.0075*(14/62)*Q91/N91</f>
        <v>3.7015336013179745E-2</v>
      </c>
    </row>
    <row r="92" spans="1:18" ht="17" customHeight="1">
      <c r="A92" s="6" t="s">
        <v>67</v>
      </c>
      <c r="B92" s="7">
        <v>17.07</v>
      </c>
      <c r="C92" s="7">
        <v>527.73</v>
      </c>
      <c r="D92" s="8">
        <v>40.1</v>
      </c>
      <c r="E92" s="8">
        <v>28.22</v>
      </c>
      <c r="F92" s="6">
        <v>0.9</v>
      </c>
      <c r="G92" s="9">
        <f>$G91</f>
        <v>95.881333333333316</v>
      </c>
      <c r="H92" s="9">
        <f t="shared" si="27"/>
        <v>0.89111111111111108</v>
      </c>
      <c r="I92" s="6">
        <v>11</v>
      </c>
      <c r="J92" s="6">
        <v>0.85</v>
      </c>
      <c r="K92" s="6">
        <v>5000</v>
      </c>
      <c r="L92" s="6">
        <v>1500</v>
      </c>
      <c r="M92" s="6">
        <v>44.7</v>
      </c>
      <c r="N92" s="6">
        <f>$N91</f>
        <v>1.865</v>
      </c>
      <c r="O92" s="6">
        <f t="shared" si="28"/>
        <v>83.365500000000011</v>
      </c>
      <c r="P92" s="10">
        <f t="shared" si="29"/>
        <v>5164.393939393939</v>
      </c>
      <c r="Q92" s="9">
        <f>(21.37+(C92/(E92*F92))*((0.0037*G92)+(0.0000601*P92)-(0.00362*O92)))</f>
        <v>28.919998586000688</v>
      </c>
      <c r="R92" s="11">
        <f>(44/28)*0.0075*(14/62)*Q92/N92</f>
        <v>4.1267835048777242E-2</v>
      </c>
    </row>
    <row r="93" spans="1:18" ht="17" customHeight="1">
      <c r="A93" s="12"/>
      <c r="E93" s="19"/>
      <c r="F93" s="19"/>
      <c r="P93" s="16" t="s">
        <v>59</v>
      </c>
      <c r="Q93" s="17">
        <f>AVERAGE(Q88:Q92)</f>
        <v>24.896364079923963</v>
      </c>
      <c r="R93" s="18">
        <f>AVERAGE(R88:R92)</f>
        <v>3.5526248146566228E-2</v>
      </c>
    </row>
  </sheetData>
  <sortState ref="A5:V9">
    <sortCondition ref="A5"/>
  </sortState>
  <mergeCells count="2">
    <mergeCell ref="A2:C2"/>
    <mergeCell ref="A12:C1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"/>
  <sheetViews>
    <sheetView topLeftCell="K22" zoomScale="104" zoomScaleNormal="104" workbookViewId="0">
      <selection activeCell="N33" sqref="N33"/>
    </sheetView>
  </sheetViews>
  <sheetFormatPr defaultColWidth="12.6328125" defaultRowHeight="14.25" customHeight="1"/>
  <cols>
    <col min="1" max="1" width="12.6328125" style="1"/>
    <col min="2" max="2" width="14.453125" style="1" customWidth="1"/>
    <col min="3" max="12" width="12.6328125" style="1"/>
    <col min="13" max="13" width="15" style="1" customWidth="1"/>
    <col min="14" max="14" width="16.90625" style="1" customWidth="1"/>
    <col min="15" max="16" width="12.6328125" style="1"/>
    <col min="17" max="17" width="15.90625" style="1" customWidth="1"/>
    <col min="18" max="18" width="18.453125" style="1" customWidth="1"/>
    <col min="19" max="19" width="12.6328125" style="1"/>
    <col min="20" max="16384" width="12.6328125" style="33"/>
  </cols>
  <sheetData>
    <row r="1" spans="1:21" ht="14.25" customHeight="1">
      <c r="A1" s="31" t="s">
        <v>5</v>
      </c>
    </row>
    <row r="2" spans="1:21" ht="14.25" customHeight="1">
      <c r="A2" s="2" t="s">
        <v>100</v>
      </c>
      <c r="B2" s="2"/>
      <c r="C2" s="2"/>
      <c r="D2" s="34"/>
      <c r="E2" s="34"/>
    </row>
    <row r="3" spans="1:21" ht="14.25" customHeight="1">
      <c r="A3" s="35"/>
      <c r="B3" s="35"/>
      <c r="C3" s="35"/>
      <c r="D3" s="35"/>
      <c r="E3" s="35"/>
      <c r="F3" s="35"/>
      <c r="G3" s="35"/>
      <c r="H3" s="35"/>
      <c r="I3" s="36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1" s="1" customFormat="1" ht="41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82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21" ht="14.25" customHeight="1">
      <c r="A5" s="6" t="s">
        <v>74</v>
      </c>
      <c r="B5" s="7">
        <v>12.091119528619528</v>
      </c>
      <c r="C5" s="7">
        <v>452.17997222222209</v>
      </c>
      <c r="D5" s="8">
        <v>28.336493842584314</v>
      </c>
      <c r="E5" s="8">
        <v>19.429487179487179</v>
      </c>
      <c r="F5" s="6">
        <v>0.9</v>
      </c>
      <c r="G5" s="9">
        <v>36.74</v>
      </c>
      <c r="H5" s="9">
        <f>D5*100/(3000*L5/1000)</f>
        <v>0.68445637300928297</v>
      </c>
      <c r="I5" s="6">
        <v>11</v>
      </c>
      <c r="J5" s="6">
        <v>0.85</v>
      </c>
      <c r="K5" s="6">
        <v>5000</v>
      </c>
      <c r="L5" s="6">
        <v>1380</v>
      </c>
      <c r="M5" s="6">
        <v>44.7</v>
      </c>
      <c r="N5" s="6">
        <f>'[1]Crop&amp;input data'!B12</f>
        <v>1.865</v>
      </c>
      <c r="O5" s="6">
        <f t="shared" ref="O5:O9" si="0">M5*N5</f>
        <v>83.365500000000011</v>
      </c>
      <c r="P5" s="10">
        <f>((H5/100)*K5*L5)/I5*J5</f>
        <v>3649.396934272223</v>
      </c>
      <c r="Q5" s="9">
        <f>(21.37+(C5/(E5*F5))*((0.0037*G5)+(0.0000601*P5)-(0.00362*O5)))</f>
        <v>22.75302005869618</v>
      </c>
      <c r="R5" s="11">
        <f>(44/28)*0.0075*(14/62)*Q5/N5</f>
        <v>3.2467770558547687E-2</v>
      </c>
      <c r="S5" s="26"/>
    </row>
    <row r="6" spans="1:21" ht="14.25" customHeight="1">
      <c r="A6" s="6" t="s">
        <v>48</v>
      </c>
      <c r="B6" s="7">
        <v>11.301823455437908</v>
      </c>
      <c r="C6" s="7">
        <v>421.26971084337367</v>
      </c>
      <c r="D6" s="8">
        <v>31.439481825212681</v>
      </c>
      <c r="E6" s="8">
        <v>18.611111111111111</v>
      </c>
      <c r="F6" s="6">
        <v>0.9</v>
      </c>
      <c r="G6" s="9">
        <f>$G5</f>
        <v>36.74</v>
      </c>
      <c r="H6" s="9">
        <f t="shared" ref="H6:H9" si="1">D6*100/(3000*L6/1000)</f>
        <v>0.78795693797525512</v>
      </c>
      <c r="I6" s="6">
        <v>11</v>
      </c>
      <c r="J6" s="6">
        <v>0.85</v>
      </c>
      <c r="K6" s="6">
        <v>5000</v>
      </c>
      <c r="L6" s="6">
        <v>1330</v>
      </c>
      <c r="M6" s="6">
        <v>44.7</v>
      </c>
      <c r="N6" s="6">
        <f>$N5</f>
        <v>1.865</v>
      </c>
      <c r="O6" s="6">
        <f t="shared" si="0"/>
        <v>83.365500000000011</v>
      </c>
      <c r="P6" s="10">
        <f t="shared" ref="P6:P8" si="2">((H6/100)*K6*L6)/I6*J6</f>
        <v>4049.024174459209</v>
      </c>
      <c r="Q6" s="9">
        <f t="shared" ref="Q6:Q9" si="3">(21.37+(C6/(E6*F6))*((0.0037*G6)+(0.0000601*P6)-(0.00362*O6)))</f>
        <v>23.319189622696442</v>
      </c>
      <c r="R6" s="11">
        <f t="shared" ref="R6:R9" si="4">(44/28)*0.0075*(14/62)*Q6/N6</f>
        <v>3.3275674891852562E-2</v>
      </c>
      <c r="S6" s="26"/>
    </row>
    <row r="7" spans="1:21" ht="14.25" customHeight="1">
      <c r="A7" s="6" t="s">
        <v>50</v>
      </c>
      <c r="B7" s="7">
        <v>12.096593444485013</v>
      </c>
      <c r="C7" s="7">
        <v>496.41086746987969</v>
      </c>
      <c r="D7" s="8">
        <v>30.655925943463235</v>
      </c>
      <c r="E7" s="8">
        <v>21.816326530612244</v>
      </c>
      <c r="F7" s="6">
        <v>0.9</v>
      </c>
      <c r="G7" s="9">
        <f t="shared" ref="G7:G9" si="5">$G6</f>
        <v>36.74</v>
      </c>
      <c r="H7" s="9">
        <f t="shared" si="1"/>
        <v>0.76258522247420979</v>
      </c>
      <c r="I7" s="6">
        <v>11</v>
      </c>
      <c r="J7" s="6">
        <v>0.85</v>
      </c>
      <c r="K7" s="6">
        <v>5000</v>
      </c>
      <c r="L7" s="6">
        <v>1340</v>
      </c>
      <c r="M7" s="6">
        <v>44.7</v>
      </c>
      <c r="N7" s="6">
        <f t="shared" ref="N7:N9" si="6">$N6</f>
        <v>1.865</v>
      </c>
      <c r="O7" s="6">
        <f t="shared" si="0"/>
        <v>83.365500000000011</v>
      </c>
      <c r="P7" s="10">
        <f t="shared" si="2"/>
        <v>3948.1116745369322</v>
      </c>
      <c r="Q7" s="9">
        <f t="shared" si="3"/>
        <v>23.176078889135102</v>
      </c>
      <c r="R7" s="11">
        <f t="shared" si="4"/>
        <v>3.3071460838080873E-2</v>
      </c>
      <c r="S7" s="26"/>
    </row>
    <row r="8" spans="1:21" ht="14.25" customHeight="1">
      <c r="A8" s="6" t="s">
        <v>72</v>
      </c>
      <c r="B8" s="7">
        <v>11.603975594537843</v>
      </c>
      <c r="C8" s="7">
        <v>481.02397590361437</v>
      </c>
      <c r="D8" s="8">
        <v>49.676624129930396</v>
      </c>
      <c r="E8" s="8">
        <v>22.944444444444443</v>
      </c>
      <c r="F8" s="6">
        <v>0.9</v>
      </c>
      <c r="G8" s="9">
        <f t="shared" si="5"/>
        <v>36.74</v>
      </c>
      <c r="H8" s="9">
        <f t="shared" si="1"/>
        <v>1.2640362374028091</v>
      </c>
      <c r="I8" s="6">
        <v>11</v>
      </c>
      <c r="J8" s="6">
        <v>0.85</v>
      </c>
      <c r="K8" s="6">
        <v>5000</v>
      </c>
      <c r="L8" s="6">
        <v>1310</v>
      </c>
      <c r="M8" s="6">
        <v>44.7</v>
      </c>
      <c r="N8" s="6">
        <f t="shared" si="6"/>
        <v>1.865</v>
      </c>
      <c r="O8" s="6">
        <f t="shared" si="0"/>
        <v>83.365500000000011</v>
      </c>
      <c r="P8" s="10">
        <f t="shared" si="2"/>
        <v>6397.7470470364906</v>
      </c>
      <c r="Q8" s="9">
        <f t="shared" si="3"/>
        <v>26.463484554926534</v>
      </c>
      <c r="R8" s="11">
        <f t="shared" si="4"/>
        <v>3.776247471731279E-2</v>
      </c>
      <c r="S8" s="26"/>
    </row>
    <row r="9" spans="1:21" ht="14.25" customHeight="1">
      <c r="A9" s="6" t="s">
        <v>49</v>
      </c>
      <c r="B9" s="7">
        <v>11.401458865766095</v>
      </c>
      <c r="C9" s="7">
        <v>434.68886746987943</v>
      </c>
      <c r="D9" s="8">
        <v>29.911192895431629</v>
      </c>
      <c r="E9" s="8">
        <v>21.310344827586206</v>
      </c>
      <c r="F9" s="6">
        <v>0.9</v>
      </c>
      <c r="G9" s="9">
        <f t="shared" si="5"/>
        <v>36.74</v>
      </c>
      <c r="H9" s="9">
        <f t="shared" si="1"/>
        <v>0.75533315392504108</v>
      </c>
      <c r="I9" s="6">
        <v>11</v>
      </c>
      <c r="J9" s="6">
        <v>0.85</v>
      </c>
      <c r="K9" s="6">
        <v>5000</v>
      </c>
      <c r="L9" s="6">
        <v>1320</v>
      </c>
      <c r="M9" s="6">
        <v>44.7</v>
      </c>
      <c r="N9" s="6">
        <f t="shared" si="6"/>
        <v>1.865</v>
      </c>
      <c r="O9" s="6">
        <f t="shared" si="0"/>
        <v>83.365500000000011</v>
      </c>
      <c r="P9" s="10">
        <f>((H9/100)*K9*L9)/I9*J9</f>
        <v>3852.199085017709</v>
      </c>
      <c r="Q9" s="9">
        <f t="shared" si="3"/>
        <v>22.85842219575564</v>
      </c>
      <c r="R9" s="11">
        <f t="shared" si="4"/>
        <v>3.2618175752829541E-2</v>
      </c>
      <c r="S9" s="26"/>
    </row>
    <row r="10" spans="1:21" ht="14.25" customHeight="1">
      <c r="A10" s="12"/>
      <c r="D10" s="19"/>
      <c r="E10" s="19"/>
      <c r="P10" s="16" t="s">
        <v>59</v>
      </c>
      <c r="Q10" s="17">
        <f>AVERAGE(Q5:Q9)</f>
        <v>23.71403906424198</v>
      </c>
      <c r="R10" s="18">
        <f>AVERAGE(R5:R9)</f>
        <v>3.3839111351724696E-2</v>
      </c>
      <c r="S10" s="20"/>
    </row>
    <row r="11" spans="1:21" ht="14.25" customHeight="1">
      <c r="S11" s="26"/>
      <c r="T11" s="37"/>
      <c r="U11" s="37"/>
    </row>
    <row r="12" spans="1:21" ht="14.25" customHeight="1">
      <c r="A12" s="21" t="s">
        <v>121</v>
      </c>
      <c r="B12" s="21"/>
      <c r="C12" s="21"/>
      <c r="D12" s="34"/>
      <c r="E12" s="34"/>
      <c r="S12" s="26"/>
      <c r="T12" s="37"/>
      <c r="U12" s="37"/>
    </row>
    <row r="13" spans="1:21" ht="14.25" customHeight="1">
      <c r="C13" s="33"/>
      <c r="D13" s="33"/>
      <c r="E13" s="33"/>
    </row>
    <row r="14" spans="1:21" ht="14.25" customHeight="1">
      <c r="A14" s="22" t="s">
        <v>101</v>
      </c>
      <c r="B14" s="35"/>
      <c r="C14" s="35"/>
      <c r="D14" s="35"/>
      <c r="E14" s="35"/>
      <c r="G14" s="35"/>
      <c r="H14" s="35"/>
      <c r="I14" s="36"/>
      <c r="J14" s="35"/>
      <c r="K14" s="35"/>
      <c r="L14" s="35"/>
      <c r="M14" s="35"/>
      <c r="N14" s="35"/>
      <c r="O14" s="35"/>
      <c r="P14" s="35"/>
      <c r="Q14" s="35"/>
      <c r="R14" s="35"/>
      <c r="S14" s="24"/>
      <c r="T14" s="37"/>
      <c r="U14" s="37"/>
    </row>
    <row r="15" spans="1:21" s="1" customFormat="1" ht="41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82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21" ht="14.25" customHeight="1">
      <c r="A16" s="6" t="s">
        <v>74</v>
      </c>
      <c r="B16" s="7">
        <v>12.091119528619528</v>
      </c>
      <c r="C16" s="7">
        <v>452.17997222222209</v>
      </c>
      <c r="D16" s="8">
        <v>28.336493842584314</v>
      </c>
      <c r="E16" s="8">
        <v>19.429487179487179</v>
      </c>
      <c r="F16" s="6">
        <v>0.9</v>
      </c>
      <c r="G16" s="9">
        <f>'Summary N2O from residue'!H10*1000</f>
        <v>31.960444444444445</v>
      </c>
      <c r="H16" s="9">
        <f>D16*100/(3000*L16/1000)</f>
        <v>0.68445637300928297</v>
      </c>
      <c r="I16" s="6">
        <v>11</v>
      </c>
      <c r="J16" s="6">
        <v>0.85</v>
      </c>
      <c r="K16" s="6">
        <v>5000</v>
      </c>
      <c r="L16" s="6">
        <v>1380</v>
      </c>
      <c r="M16" s="6">
        <v>44.7</v>
      </c>
      <c r="N16" s="6">
        <f>N5</f>
        <v>1.865</v>
      </c>
      <c r="O16" s="6">
        <f t="shared" ref="O16:O20" si="7">M16*N16</f>
        <v>83.365500000000011</v>
      </c>
      <c r="P16" s="10">
        <f>((H16/100)*K16*L16)/I16*J16</f>
        <v>3649.396934272223</v>
      </c>
      <c r="Q16" s="9">
        <f>(21.37+(C16/(E16*F16))*((0.0037*G16)+(0.0000601*P16)-(0.00362*O16)))</f>
        <v>22.29572478430741</v>
      </c>
      <c r="R16" s="11">
        <f>(44/28)*0.0075*(14/62)*Q16/N16</f>
        <v>3.1815226060803614E-2</v>
      </c>
    </row>
    <row r="17" spans="1:19" ht="14.25" customHeight="1">
      <c r="A17" s="6" t="s">
        <v>48</v>
      </c>
      <c r="B17" s="7">
        <v>11.301823455437908</v>
      </c>
      <c r="C17" s="7">
        <v>421.26971084337367</v>
      </c>
      <c r="D17" s="8">
        <v>31.439481825212681</v>
      </c>
      <c r="E17" s="8">
        <v>18.611111111111111</v>
      </c>
      <c r="F17" s="6">
        <v>0.9</v>
      </c>
      <c r="G17" s="9">
        <f>G16</f>
        <v>31.960444444444445</v>
      </c>
      <c r="H17" s="9">
        <f>D17*100/(3000*L17/1000)</f>
        <v>0.78795693797525512</v>
      </c>
      <c r="I17" s="6">
        <v>11</v>
      </c>
      <c r="J17" s="6">
        <v>0.85</v>
      </c>
      <c r="K17" s="6">
        <v>5000</v>
      </c>
      <c r="L17" s="6">
        <v>1330</v>
      </c>
      <c r="M17" s="6">
        <v>44.7</v>
      </c>
      <c r="N17" s="6">
        <f>$N16</f>
        <v>1.865</v>
      </c>
      <c r="O17" s="6">
        <f t="shared" si="7"/>
        <v>83.365500000000011</v>
      </c>
      <c r="P17" s="10">
        <f t="shared" ref="P17:P19" si="8">((H17/100)*K17*L17)/I17*J17</f>
        <v>4049.024174459209</v>
      </c>
      <c r="Q17" s="9">
        <f t="shared" ref="Q17:Q20" si="9">(21.37+(C17/(E17*F17))*((0.0037*G17)+(0.0000601*P17)-(0.00362*O17)))</f>
        <v>22.874420467392543</v>
      </c>
      <c r="R17" s="11">
        <f t="shared" ref="R17:R20" si="10">(44/28)*0.0075*(14/62)*Q17/N17</f>
        <v>3.264100473164204E-2</v>
      </c>
    </row>
    <row r="18" spans="1:19" ht="14.25" customHeight="1">
      <c r="A18" s="6" t="s">
        <v>50</v>
      </c>
      <c r="B18" s="7">
        <v>12.096593444485013</v>
      </c>
      <c r="C18" s="7">
        <v>496.41086746987969</v>
      </c>
      <c r="D18" s="8">
        <v>30.655925943463235</v>
      </c>
      <c r="E18" s="8">
        <v>21.816326530612244</v>
      </c>
      <c r="F18" s="6">
        <v>0.9</v>
      </c>
      <c r="G18" s="9">
        <f t="shared" ref="G18:G20" si="11">G17</f>
        <v>31.960444444444445</v>
      </c>
      <c r="H18" s="9">
        <f t="shared" ref="H17:H20" si="12">D18*100/(3000*L18/1000)</f>
        <v>0.76258522247420979</v>
      </c>
      <c r="I18" s="6">
        <v>11</v>
      </c>
      <c r="J18" s="6">
        <v>0.85</v>
      </c>
      <c r="K18" s="6">
        <v>5000</v>
      </c>
      <c r="L18" s="6">
        <v>1340</v>
      </c>
      <c r="M18" s="6">
        <v>44.7</v>
      </c>
      <c r="N18" s="6">
        <f t="shared" ref="N18:N20" si="13">$N17</f>
        <v>1.865</v>
      </c>
      <c r="O18" s="6">
        <f t="shared" si="7"/>
        <v>83.365500000000011</v>
      </c>
      <c r="P18" s="10">
        <f t="shared" si="8"/>
        <v>3948.1116745369322</v>
      </c>
      <c r="Q18" s="9">
        <f t="shared" si="9"/>
        <v>22.728977124436032</v>
      </c>
      <c r="R18" s="11">
        <f t="shared" si="10"/>
        <v>3.2433462125157353E-2</v>
      </c>
    </row>
    <row r="19" spans="1:19" ht="14.25" customHeight="1">
      <c r="A19" s="6" t="s">
        <v>72</v>
      </c>
      <c r="B19" s="7">
        <v>11.603975594537843</v>
      </c>
      <c r="C19" s="7">
        <v>481.02397590361437</v>
      </c>
      <c r="D19" s="8">
        <v>49.676624129930396</v>
      </c>
      <c r="E19" s="8">
        <v>22.944444444444443</v>
      </c>
      <c r="F19" s="6">
        <v>0.9</v>
      </c>
      <c r="G19" s="9">
        <f t="shared" si="11"/>
        <v>31.960444444444445</v>
      </c>
      <c r="H19" s="9">
        <f t="shared" si="12"/>
        <v>1.2640362374028091</v>
      </c>
      <c r="I19" s="6">
        <v>11</v>
      </c>
      <c r="J19" s="6">
        <v>0.85</v>
      </c>
      <c r="K19" s="6">
        <v>5000</v>
      </c>
      <c r="L19" s="6">
        <v>1310</v>
      </c>
      <c r="M19" s="6">
        <v>44.7</v>
      </c>
      <c r="N19" s="6">
        <f t="shared" si="13"/>
        <v>1.865</v>
      </c>
      <c r="O19" s="6">
        <f t="shared" si="7"/>
        <v>83.365500000000011</v>
      </c>
      <c r="P19" s="10">
        <f t="shared" si="8"/>
        <v>6397.7470470364906</v>
      </c>
      <c r="Q19" s="9">
        <f t="shared" si="9"/>
        <v>26.051542713733966</v>
      </c>
      <c r="R19" s="11">
        <f t="shared" si="10"/>
        <v>3.7174647995901609E-2</v>
      </c>
    </row>
    <row r="20" spans="1:19" ht="14.25" customHeight="1">
      <c r="A20" s="6" t="s">
        <v>49</v>
      </c>
      <c r="B20" s="7">
        <v>11.401458865766095</v>
      </c>
      <c r="C20" s="7">
        <v>434.68886746987943</v>
      </c>
      <c r="D20" s="8">
        <v>29.911192895431629</v>
      </c>
      <c r="E20" s="8">
        <v>21.310344827586206</v>
      </c>
      <c r="F20" s="6">
        <v>0.9</v>
      </c>
      <c r="G20" s="9">
        <f t="shared" si="11"/>
        <v>31.960444444444445</v>
      </c>
      <c r="H20" s="9">
        <f t="shared" si="12"/>
        <v>0.75533315392504108</v>
      </c>
      <c r="I20" s="6">
        <v>11</v>
      </c>
      <c r="J20" s="6">
        <v>0.85</v>
      </c>
      <c r="K20" s="6">
        <v>5000</v>
      </c>
      <c r="L20" s="6">
        <v>1320</v>
      </c>
      <c r="M20" s="6">
        <v>44.7</v>
      </c>
      <c r="N20" s="6">
        <f t="shared" si="13"/>
        <v>1.865</v>
      </c>
      <c r="O20" s="6">
        <f t="shared" si="7"/>
        <v>83.365500000000011</v>
      </c>
      <c r="P20" s="10">
        <f>((H20/100)*K20*L20)/I20*J20</f>
        <v>3852.199085017709</v>
      </c>
      <c r="Q20" s="9">
        <f t="shared" si="9"/>
        <v>22.457615683416563</v>
      </c>
      <c r="R20" s="11">
        <f t="shared" si="10"/>
        <v>3.2046238759523761E-2</v>
      </c>
    </row>
    <row r="21" spans="1:19" ht="14.25" customHeight="1">
      <c r="A21" s="12"/>
      <c r="D21" s="19"/>
      <c r="E21" s="19"/>
      <c r="P21" s="16" t="s">
        <v>59</v>
      </c>
      <c r="Q21" s="17">
        <f>AVERAGE(Q16:Q20)</f>
        <v>23.281656154657302</v>
      </c>
      <c r="R21" s="18">
        <f>AVERAGE(R16:R20)</f>
        <v>3.3222115934605674E-2</v>
      </c>
      <c r="S21" s="20"/>
    </row>
    <row r="22" spans="1:19" ht="14.25" customHeight="1">
      <c r="M22" s="38"/>
    </row>
    <row r="23" spans="1:19" ht="14.25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</row>
    <row r="24" spans="1:19" s="1" customFormat="1" ht="41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82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9" ht="14.25" customHeight="1">
      <c r="A25" s="6" t="s">
        <v>74</v>
      </c>
      <c r="B25" s="7">
        <v>12.091119528619528</v>
      </c>
      <c r="C25" s="7">
        <v>452.17997222222209</v>
      </c>
      <c r="D25" s="8">
        <v>28.336493842584314</v>
      </c>
      <c r="E25" s="8">
        <v>19.429487179487179</v>
      </c>
      <c r="F25" s="6">
        <v>0.9</v>
      </c>
      <c r="G25" s="9">
        <f>'Summary N2O from residue'!H11*1000</f>
        <v>42.164888888888889</v>
      </c>
      <c r="H25" s="9">
        <f>D25*100/(3000*L25/1000)</f>
        <v>0.68445637300928297</v>
      </c>
      <c r="I25" s="6">
        <v>11</v>
      </c>
      <c r="J25" s="6">
        <v>0.85</v>
      </c>
      <c r="K25" s="6">
        <v>5000</v>
      </c>
      <c r="L25" s="6">
        <v>1380</v>
      </c>
      <c r="M25" s="6">
        <v>44.7</v>
      </c>
      <c r="N25" s="6">
        <f>N16</f>
        <v>1.865</v>
      </c>
      <c r="O25" s="6">
        <f t="shared" ref="O25:O29" si="14">M25*N25</f>
        <v>83.365500000000011</v>
      </c>
      <c r="P25" s="10">
        <f>((H25/100)*K25*L25)/I25*J25</f>
        <v>3649.396934272223</v>
      </c>
      <c r="Q25" s="9">
        <f>(21.37+(C25/(E25*F25))*((0.0037*G25)+(0.0000601*P25)-(0.00362*O25)))</f>
        <v>23.272059125014696</v>
      </c>
      <c r="R25" s="11">
        <f>(44/28)*0.0075*(14/62)*Q25/N25</f>
        <v>3.3208421306126647E-2</v>
      </c>
    </row>
    <row r="26" spans="1:19" ht="14.25" customHeight="1">
      <c r="A26" s="6" t="s">
        <v>48</v>
      </c>
      <c r="B26" s="7">
        <v>11.301823455437908</v>
      </c>
      <c r="C26" s="7">
        <v>421.26971084337367</v>
      </c>
      <c r="D26" s="8">
        <v>31.439481825212681</v>
      </c>
      <c r="E26" s="8">
        <v>18.611111111111111</v>
      </c>
      <c r="F26" s="6">
        <v>0.9</v>
      </c>
      <c r="G26" s="9">
        <f>G25</f>
        <v>42.164888888888889</v>
      </c>
      <c r="H26" s="9">
        <f t="shared" ref="H26:H29" si="15">D26*100/(3000*L26/1000)</f>
        <v>0.78795693797525512</v>
      </c>
      <c r="I26" s="6">
        <v>11</v>
      </c>
      <c r="J26" s="6">
        <v>0.85</v>
      </c>
      <c r="K26" s="6">
        <v>5000</v>
      </c>
      <c r="L26" s="6">
        <v>1330</v>
      </c>
      <c r="M26" s="6">
        <v>44.7</v>
      </c>
      <c r="N26" s="6">
        <f>$N25</f>
        <v>1.865</v>
      </c>
      <c r="O26" s="6">
        <f t="shared" si="14"/>
        <v>83.365500000000011</v>
      </c>
      <c r="P26" s="10">
        <f t="shared" ref="P26:P29" si="16">((H26/100)*K26*L26)/I26*J26</f>
        <v>4049.024174459209</v>
      </c>
      <c r="Q26" s="9">
        <f t="shared" ref="Q26:Q29" si="17">(21.37+(C26/(E26*F26))*((0.0037*G26)+(0.0000601*P26)-(0.00362*O26)))</f>
        <v>23.824011299248365</v>
      </c>
      <c r="R26" s="11">
        <f t="shared" ref="R26:R29" si="18">(44/28)*0.0075*(14/62)*Q26/N26</f>
        <v>3.3996037917287725E-2</v>
      </c>
    </row>
    <row r="27" spans="1:19" ht="14.25" customHeight="1">
      <c r="A27" s="6" t="s">
        <v>50</v>
      </c>
      <c r="B27" s="7">
        <v>12.096593444485013</v>
      </c>
      <c r="C27" s="7">
        <v>496.41086746987969</v>
      </c>
      <c r="D27" s="8">
        <v>30.655925943463235</v>
      </c>
      <c r="E27" s="8">
        <v>21.816326530612244</v>
      </c>
      <c r="F27" s="6">
        <v>0.9</v>
      </c>
      <c r="G27" s="9">
        <f t="shared" ref="G27:G29" si="19">G26</f>
        <v>42.164888888888889</v>
      </c>
      <c r="H27" s="9">
        <f t="shared" si="15"/>
        <v>0.76258522247420979</v>
      </c>
      <c r="I27" s="6">
        <v>11</v>
      </c>
      <c r="J27" s="6">
        <v>0.85</v>
      </c>
      <c r="K27" s="6">
        <v>5000</v>
      </c>
      <c r="L27" s="6">
        <v>1340</v>
      </c>
      <c r="M27" s="6">
        <v>44.7</v>
      </c>
      <c r="N27" s="6">
        <f t="shared" ref="N27:N29" si="20">$N26</f>
        <v>1.865</v>
      </c>
      <c r="O27" s="6">
        <f t="shared" si="14"/>
        <v>83.365500000000011</v>
      </c>
      <c r="P27" s="10">
        <f t="shared" si="16"/>
        <v>3948.1116745369322</v>
      </c>
      <c r="Q27" s="9">
        <f t="shared" si="17"/>
        <v>23.683548122900852</v>
      </c>
      <c r="R27" s="11">
        <f t="shared" si="18"/>
        <v>3.3795601835843986E-2</v>
      </c>
    </row>
    <row r="28" spans="1:19" ht="14.25" customHeight="1">
      <c r="A28" s="6" t="s">
        <v>72</v>
      </c>
      <c r="B28" s="7">
        <v>11.603975594537843</v>
      </c>
      <c r="C28" s="7">
        <v>481.02397590361437</v>
      </c>
      <c r="D28" s="8">
        <v>49.676624129930396</v>
      </c>
      <c r="E28" s="8">
        <v>22.944444444444443</v>
      </c>
      <c r="F28" s="6">
        <v>0.9</v>
      </c>
      <c r="G28" s="9">
        <f t="shared" si="19"/>
        <v>42.164888888888889</v>
      </c>
      <c r="H28" s="9">
        <f t="shared" si="15"/>
        <v>1.2640362374028091</v>
      </c>
      <c r="I28" s="6">
        <v>11</v>
      </c>
      <c r="J28" s="6">
        <v>0.85</v>
      </c>
      <c r="K28" s="6">
        <v>5000</v>
      </c>
      <c r="L28" s="6">
        <v>1310</v>
      </c>
      <c r="M28" s="6">
        <v>44.7</v>
      </c>
      <c r="N28" s="6">
        <f t="shared" si="20"/>
        <v>1.865</v>
      </c>
      <c r="O28" s="6">
        <f t="shared" si="14"/>
        <v>83.365500000000011</v>
      </c>
      <c r="P28" s="10">
        <f t="shared" si="16"/>
        <v>6397.7470470364906</v>
      </c>
      <c r="Q28" s="9">
        <f t="shared" si="17"/>
        <v>26.931046588922854</v>
      </c>
      <c r="R28" s="11">
        <f t="shared" si="18"/>
        <v>3.8429669524969907E-2</v>
      </c>
    </row>
    <row r="29" spans="1:19" ht="14.25" customHeight="1">
      <c r="A29" s="6" t="s">
        <v>49</v>
      </c>
      <c r="B29" s="7">
        <v>11.401458865766095</v>
      </c>
      <c r="C29" s="7">
        <v>434.68886746987943</v>
      </c>
      <c r="D29" s="8">
        <v>29.911192895431629</v>
      </c>
      <c r="E29" s="8">
        <v>21.310344827586206</v>
      </c>
      <c r="F29" s="6">
        <v>0.9</v>
      </c>
      <c r="G29" s="9">
        <f t="shared" si="19"/>
        <v>42.164888888888889</v>
      </c>
      <c r="H29" s="9">
        <f t="shared" si="15"/>
        <v>0.75533315392504108</v>
      </c>
      <c r="I29" s="6">
        <v>11</v>
      </c>
      <c r="J29" s="6">
        <v>0.85</v>
      </c>
      <c r="K29" s="6">
        <v>5000</v>
      </c>
      <c r="L29" s="6">
        <v>1320</v>
      </c>
      <c r="M29" s="6">
        <v>44.7</v>
      </c>
      <c r="N29" s="6">
        <f t="shared" si="20"/>
        <v>1.865</v>
      </c>
      <c r="O29" s="6">
        <f t="shared" si="14"/>
        <v>83.365500000000011</v>
      </c>
      <c r="P29" s="10">
        <f t="shared" si="16"/>
        <v>3852.199085017709</v>
      </c>
      <c r="Q29" s="9">
        <f t="shared" si="17"/>
        <v>23.313345414056808</v>
      </c>
      <c r="R29" s="11">
        <f t="shared" si="18"/>
        <v>3.3267335408798518E-2</v>
      </c>
    </row>
    <row r="30" spans="1:19" ht="14.25" customHeight="1">
      <c r="A30" s="12"/>
      <c r="D30" s="19"/>
      <c r="E30" s="19"/>
      <c r="P30" s="16" t="s">
        <v>59</v>
      </c>
      <c r="Q30" s="17">
        <f>AVERAGE(Q25:Q29)</f>
        <v>24.204802110028716</v>
      </c>
      <c r="R30" s="18">
        <f>AVERAGE(R25:R29)</f>
        <v>3.4539413198605352E-2</v>
      </c>
      <c r="S30" s="20"/>
    </row>
    <row r="32" spans="1:19" ht="14.25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</row>
    <row r="33" spans="1:19" s="1" customFormat="1" ht="41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82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9" ht="14.25" customHeight="1">
      <c r="A34" s="6" t="s">
        <v>74</v>
      </c>
      <c r="B34" s="7">
        <v>12.091119528619528</v>
      </c>
      <c r="C34" s="7">
        <v>452.17997222222209</v>
      </c>
      <c r="D34" s="8">
        <v>28.336493842584314</v>
      </c>
      <c r="E34" s="8">
        <v>19.429487179487179</v>
      </c>
      <c r="F34" s="6">
        <v>0.9</v>
      </c>
      <c r="G34" s="9">
        <f>'Summary N2O from residue'!H12*1000</f>
        <v>52.369333333333337</v>
      </c>
      <c r="H34" s="9">
        <f>D34*100/(3000*L34/1000)</f>
        <v>0.68445637300928297</v>
      </c>
      <c r="I34" s="6">
        <v>11</v>
      </c>
      <c r="J34" s="6">
        <v>0.85</v>
      </c>
      <c r="K34" s="6">
        <v>5000</v>
      </c>
      <c r="L34" s="6">
        <v>1380</v>
      </c>
      <c r="M34" s="6">
        <v>44.7</v>
      </c>
      <c r="N34" s="6">
        <f>N25</f>
        <v>1.865</v>
      </c>
      <c r="O34" s="6">
        <f t="shared" ref="O34:O38" si="21">M34*N34</f>
        <v>83.365500000000011</v>
      </c>
      <c r="P34" s="10">
        <f>((H34/100)*K34*L34)/I34*J34</f>
        <v>3649.396934272223</v>
      </c>
      <c r="Q34" s="9">
        <f>(21.37+(C34/(E34*F34))*((0.0037*G34)+(0.0000601*P34)-(0.00362*O34)))</f>
        <v>24.248393465721982</v>
      </c>
      <c r="R34" s="11">
        <f>(44/28)*0.0075*(14/62)*Q34/N34</f>
        <v>3.4601616551449679E-2</v>
      </c>
    </row>
    <row r="35" spans="1:19" ht="14.25" customHeight="1">
      <c r="A35" s="6" t="s">
        <v>48</v>
      </c>
      <c r="B35" s="7">
        <v>11.301823455437908</v>
      </c>
      <c r="C35" s="7">
        <v>421.26971084337367</v>
      </c>
      <c r="D35" s="8">
        <v>31.439481825212681</v>
      </c>
      <c r="E35" s="8">
        <v>18.611111111111111</v>
      </c>
      <c r="F35" s="6">
        <v>0.9</v>
      </c>
      <c r="G35" s="9">
        <f>G34</f>
        <v>52.369333333333337</v>
      </c>
      <c r="H35" s="9">
        <f t="shared" ref="H35:H38" si="22">D35*100/(3000*L35/1000)</f>
        <v>0.78795693797525512</v>
      </c>
      <c r="I35" s="6">
        <v>11</v>
      </c>
      <c r="J35" s="6">
        <v>0.85</v>
      </c>
      <c r="K35" s="6">
        <v>5000</v>
      </c>
      <c r="L35" s="6">
        <v>1330</v>
      </c>
      <c r="M35" s="6">
        <v>44.7</v>
      </c>
      <c r="N35" s="6">
        <f>$N34</f>
        <v>1.865</v>
      </c>
      <c r="O35" s="6">
        <f t="shared" si="21"/>
        <v>83.365500000000011</v>
      </c>
      <c r="P35" s="10">
        <f t="shared" ref="P35:P38" si="23">((H35/100)*K35*L35)/I35*J35</f>
        <v>4049.024174459209</v>
      </c>
      <c r="Q35" s="9">
        <f t="shared" ref="Q35:Q38" si="24">(21.37+(C35/(E35*F35))*((0.0037*G35)+(0.0000601*P35)-(0.00362*O35)))</f>
        <v>24.773602131104184</v>
      </c>
      <c r="R35" s="11">
        <f t="shared" ref="R35:R38" si="25">(44/28)*0.0075*(14/62)*Q35/N35</f>
        <v>3.535107110293341E-2</v>
      </c>
    </row>
    <row r="36" spans="1:19" ht="14.25" customHeight="1">
      <c r="A36" s="6" t="s">
        <v>50</v>
      </c>
      <c r="B36" s="7">
        <v>12.096593444485013</v>
      </c>
      <c r="C36" s="7">
        <v>496.41086746987969</v>
      </c>
      <c r="D36" s="8">
        <v>30.655925943463235</v>
      </c>
      <c r="E36" s="8">
        <v>21.816326530612244</v>
      </c>
      <c r="F36" s="6">
        <v>0.9</v>
      </c>
      <c r="G36" s="9">
        <f t="shared" ref="G36:G38" si="26">G35</f>
        <v>52.369333333333337</v>
      </c>
      <c r="H36" s="9">
        <f t="shared" si="22"/>
        <v>0.76258522247420979</v>
      </c>
      <c r="I36" s="6">
        <v>11</v>
      </c>
      <c r="J36" s="6">
        <v>0.85</v>
      </c>
      <c r="K36" s="6">
        <v>5000</v>
      </c>
      <c r="L36" s="6">
        <v>1340</v>
      </c>
      <c r="M36" s="6">
        <v>44.7</v>
      </c>
      <c r="N36" s="6">
        <f t="shared" ref="N36:N38" si="27">$N35</f>
        <v>1.865</v>
      </c>
      <c r="O36" s="6">
        <f t="shared" si="21"/>
        <v>83.365500000000011</v>
      </c>
      <c r="P36" s="10">
        <f t="shared" si="23"/>
        <v>3948.1116745369322</v>
      </c>
      <c r="Q36" s="9">
        <f t="shared" si="24"/>
        <v>24.638119121365673</v>
      </c>
      <c r="R36" s="11">
        <f t="shared" si="25"/>
        <v>3.5157741546530619E-2</v>
      </c>
    </row>
    <row r="37" spans="1:19" ht="14.25" customHeight="1">
      <c r="A37" s="6" t="s">
        <v>72</v>
      </c>
      <c r="B37" s="7">
        <v>11.603975594537843</v>
      </c>
      <c r="C37" s="7">
        <v>481.02397590361437</v>
      </c>
      <c r="D37" s="8">
        <v>49.676624129930396</v>
      </c>
      <c r="E37" s="8">
        <v>22.944444444444443</v>
      </c>
      <c r="F37" s="6">
        <v>0.9</v>
      </c>
      <c r="G37" s="9">
        <f t="shared" si="26"/>
        <v>52.369333333333337</v>
      </c>
      <c r="H37" s="9">
        <f t="shared" si="22"/>
        <v>1.2640362374028091</v>
      </c>
      <c r="I37" s="6">
        <v>11</v>
      </c>
      <c r="J37" s="6">
        <v>0.85</v>
      </c>
      <c r="K37" s="6">
        <v>5000</v>
      </c>
      <c r="L37" s="6">
        <v>1310</v>
      </c>
      <c r="M37" s="6">
        <v>44.7</v>
      </c>
      <c r="N37" s="6">
        <f t="shared" si="27"/>
        <v>1.865</v>
      </c>
      <c r="O37" s="6">
        <f t="shared" si="21"/>
        <v>83.365500000000011</v>
      </c>
      <c r="P37" s="10">
        <f t="shared" si="23"/>
        <v>6397.7470470364906</v>
      </c>
      <c r="Q37" s="9">
        <f t="shared" si="24"/>
        <v>27.810550464111749</v>
      </c>
      <c r="R37" s="11">
        <f t="shared" si="25"/>
        <v>3.9684691054038206E-2</v>
      </c>
    </row>
    <row r="38" spans="1:19" ht="14.25" customHeight="1">
      <c r="A38" s="6" t="s">
        <v>49</v>
      </c>
      <c r="B38" s="7">
        <v>11.401458865766095</v>
      </c>
      <c r="C38" s="7">
        <v>434.68886746987943</v>
      </c>
      <c r="D38" s="8">
        <v>29.911192895431629</v>
      </c>
      <c r="E38" s="8">
        <v>21.310344827586206</v>
      </c>
      <c r="F38" s="6">
        <v>0.9</v>
      </c>
      <c r="G38" s="9">
        <f t="shared" si="26"/>
        <v>52.369333333333337</v>
      </c>
      <c r="H38" s="9">
        <f t="shared" si="22"/>
        <v>0.75533315392504108</v>
      </c>
      <c r="I38" s="6">
        <v>11</v>
      </c>
      <c r="J38" s="6">
        <v>0.85</v>
      </c>
      <c r="K38" s="6">
        <v>5000</v>
      </c>
      <c r="L38" s="6">
        <v>1320</v>
      </c>
      <c r="M38" s="6">
        <v>44.7</v>
      </c>
      <c r="N38" s="6">
        <f t="shared" si="27"/>
        <v>1.865</v>
      </c>
      <c r="O38" s="6">
        <f t="shared" si="21"/>
        <v>83.365500000000011</v>
      </c>
      <c r="P38" s="10">
        <f t="shared" si="23"/>
        <v>3852.199085017709</v>
      </c>
      <c r="Q38" s="9">
        <f t="shared" si="24"/>
        <v>24.169075144697054</v>
      </c>
      <c r="R38" s="11">
        <f t="shared" si="25"/>
        <v>3.4488432058073275E-2</v>
      </c>
    </row>
    <row r="39" spans="1:19" ht="14.25" customHeight="1">
      <c r="A39" s="12"/>
      <c r="D39" s="19"/>
      <c r="E39" s="19"/>
      <c r="P39" s="16" t="s">
        <v>59</v>
      </c>
      <c r="Q39" s="17">
        <f>AVERAGE(Q34:Q38)</f>
        <v>25.127948065400126</v>
      </c>
      <c r="R39" s="18">
        <f>AVERAGE(R34:R38)</f>
        <v>3.5856710462605038E-2</v>
      </c>
      <c r="S39" s="20"/>
    </row>
    <row r="41" spans="1:19" ht="14.25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19" s="1" customFormat="1" ht="41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82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9" ht="14.25" customHeight="1">
      <c r="A43" s="6" t="s">
        <v>74</v>
      </c>
      <c r="B43" s="7">
        <v>12.091119528619528</v>
      </c>
      <c r="C43" s="7">
        <v>452.17997222222209</v>
      </c>
      <c r="D43" s="8">
        <v>28.336493842584314</v>
      </c>
      <c r="E43" s="8">
        <v>19.429487179487179</v>
      </c>
      <c r="F43" s="6">
        <v>0.9</v>
      </c>
      <c r="G43" s="9">
        <f>'Summary N2O from residue'!H13*1000</f>
        <v>53.716444444444434</v>
      </c>
      <c r="H43" s="9">
        <f>D43*100/(3000*L43/1000)</f>
        <v>0.68445637300928297</v>
      </c>
      <c r="I43" s="6">
        <v>11</v>
      </c>
      <c r="J43" s="6">
        <v>0.85</v>
      </c>
      <c r="K43" s="6">
        <v>5000</v>
      </c>
      <c r="L43" s="6">
        <v>1380</v>
      </c>
      <c r="M43" s="6">
        <v>44.7</v>
      </c>
      <c r="N43" s="6">
        <f>N34</f>
        <v>1.865</v>
      </c>
      <c r="O43" s="6">
        <f t="shared" ref="O43:O47" si="28">M43*N43</f>
        <v>83.365500000000011</v>
      </c>
      <c r="P43" s="10">
        <f>((H43/100)*K43*L43)/I43*J43</f>
        <v>3649.396934272223</v>
      </c>
      <c r="Q43" s="9">
        <f>(21.37+(C43/(E43*F43))*((0.0037*G43)+(0.0000601*P43)-(0.00362*O43)))</f>
        <v>24.377281505211691</v>
      </c>
      <c r="R43" s="11">
        <f>(44/28)*0.0075*(14/62)*Q43/N43</f>
        <v>3.4785535314018234E-2</v>
      </c>
    </row>
    <row r="44" spans="1:19" ht="14.25" customHeight="1">
      <c r="A44" s="6" t="s">
        <v>48</v>
      </c>
      <c r="B44" s="7">
        <v>11.301823455437908</v>
      </c>
      <c r="C44" s="7">
        <v>421.26971084337367</v>
      </c>
      <c r="D44" s="8">
        <v>31.439481825212681</v>
      </c>
      <c r="E44" s="8">
        <v>18.611111111111111</v>
      </c>
      <c r="F44" s="6">
        <v>0.9</v>
      </c>
      <c r="G44" s="9">
        <f>G43</f>
        <v>53.716444444444434</v>
      </c>
      <c r="H44" s="9">
        <f t="shared" ref="H44:H47" si="29">D44*100/(3000*L44/1000)</f>
        <v>0.78795693797525512</v>
      </c>
      <c r="I44" s="6">
        <v>11</v>
      </c>
      <c r="J44" s="6">
        <v>0.85</v>
      </c>
      <c r="K44" s="6">
        <v>5000</v>
      </c>
      <c r="L44" s="6">
        <v>1330</v>
      </c>
      <c r="M44" s="6">
        <v>44.7</v>
      </c>
      <c r="N44" s="6">
        <f>$N43</f>
        <v>1.865</v>
      </c>
      <c r="O44" s="6">
        <f t="shared" si="28"/>
        <v>83.365500000000011</v>
      </c>
      <c r="P44" s="10">
        <f t="shared" ref="P44:P47" si="30">((H44/100)*K44*L44)/I44*J44</f>
        <v>4049.024174459209</v>
      </c>
      <c r="Q44" s="9">
        <f t="shared" ref="Q44:Q47" si="31">(21.37+(C44/(E44*F44))*((0.0037*G44)+(0.0000601*P44)-(0.00362*O44)))</f>
        <v>24.89895970128515</v>
      </c>
      <c r="R44" s="11">
        <f t="shared" ref="R44:R47" si="32">(44/28)*0.0075*(14/62)*Q44/N44</f>
        <v>3.5529952008233577E-2</v>
      </c>
    </row>
    <row r="45" spans="1:19" ht="14.25" customHeight="1">
      <c r="A45" s="6" t="s">
        <v>50</v>
      </c>
      <c r="B45" s="7">
        <v>12.096593444485013</v>
      </c>
      <c r="C45" s="7">
        <v>496.41086746987969</v>
      </c>
      <c r="D45" s="8">
        <v>30.655925943463235</v>
      </c>
      <c r="E45" s="8">
        <v>21.816326530612244</v>
      </c>
      <c r="F45" s="6">
        <v>0.9</v>
      </c>
      <c r="G45" s="9">
        <f t="shared" ref="G45:G47" si="33">G44</f>
        <v>53.716444444444434</v>
      </c>
      <c r="H45" s="9">
        <f t="shared" si="29"/>
        <v>0.76258522247420979</v>
      </c>
      <c r="I45" s="6">
        <v>11</v>
      </c>
      <c r="J45" s="6">
        <v>0.85</v>
      </c>
      <c r="K45" s="6">
        <v>5000</v>
      </c>
      <c r="L45" s="6">
        <v>1340</v>
      </c>
      <c r="M45" s="6">
        <v>44.7</v>
      </c>
      <c r="N45" s="6">
        <f t="shared" ref="N45:N47" si="34">$N44</f>
        <v>1.865</v>
      </c>
      <c r="O45" s="6">
        <f t="shared" si="28"/>
        <v>83.365500000000011</v>
      </c>
      <c r="P45" s="10">
        <f t="shared" si="30"/>
        <v>3948.1116745369322</v>
      </c>
      <c r="Q45" s="9">
        <f t="shared" si="31"/>
        <v>24.764134134272766</v>
      </c>
      <c r="R45" s="11">
        <f t="shared" si="32"/>
        <v>3.5337560599801136E-2</v>
      </c>
    </row>
    <row r="46" spans="1:19" ht="14.25" customHeight="1">
      <c r="A46" s="6" t="s">
        <v>72</v>
      </c>
      <c r="B46" s="7">
        <v>11.603975594537843</v>
      </c>
      <c r="C46" s="7">
        <v>481.02397590361437</v>
      </c>
      <c r="D46" s="8">
        <v>49.676624129930396</v>
      </c>
      <c r="E46" s="8">
        <v>22.944444444444443</v>
      </c>
      <c r="F46" s="6">
        <v>0.9</v>
      </c>
      <c r="G46" s="9">
        <f t="shared" si="33"/>
        <v>53.716444444444434</v>
      </c>
      <c r="H46" s="9">
        <f t="shared" si="29"/>
        <v>1.2640362374028091</v>
      </c>
      <c r="I46" s="6">
        <v>11</v>
      </c>
      <c r="J46" s="6">
        <v>0.85</v>
      </c>
      <c r="K46" s="6">
        <v>5000</v>
      </c>
      <c r="L46" s="6">
        <v>1310</v>
      </c>
      <c r="M46" s="6">
        <v>44.7</v>
      </c>
      <c r="N46" s="6">
        <f t="shared" si="34"/>
        <v>1.865</v>
      </c>
      <c r="O46" s="6">
        <f t="shared" si="28"/>
        <v>83.365500000000011</v>
      </c>
      <c r="P46" s="10">
        <f t="shared" si="30"/>
        <v>6397.7470470364906</v>
      </c>
      <c r="Q46" s="9">
        <f t="shared" si="31"/>
        <v>27.926655701293697</v>
      </c>
      <c r="R46" s="11">
        <f t="shared" si="32"/>
        <v>3.9850369201015826E-2</v>
      </c>
    </row>
    <row r="47" spans="1:19" ht="14.25" customHeight="1">
      <c r="A47" s="6" t="s">
        <v>49</v>
      </c>
      <c r="B47" s="7">
        <v>11.401458865766095</v>
      </c>
      <c r="C47" s="7">
        <v>434.68886746987943</v>
      </c>
      <c r="D47" s="8">
        <v>29.911192895431629</v>
      </c>
      <c r="E47" s="8">
        <v>21.310344827586206</v>
      </c>
      <c r="F47" s="6">
        <v>0.9</v>
      </c>
      <c r="G47" s="9">
        <f t="shared" si="33"/>
        <v>53.716444444444434</v>
      </c>
      <c r="H47" s="9">
        <f t="shared" si="29"/>
        <v>0.75533315392504108</v>
      </c>
      <c r="I47" s="6">
        <v>11</v>
      </c>
      <c r="J47" s="6">
        <v>0.85</v>
      </c>
      <c r="K47" s="6">
        <v>5000</v>
      </c>
      <c r="L47" s="6">
        <v>1320</v>
      </c>
      <c r="M47" s="6">
        <v>44.7</v>
      </c>
      <c r="N47" s="6">
        <f t="shared" si="34"/>
        <v>1.865</v>
      </c>
      <c r="O47" s="6">
        <f t="shared" si="28"/>
        <v>83.365500000000011</v>
      </c>
      <c r="P47" s="10">
        <f t="shared" si="30"/>
        <v>3852.199085017709</v>
      </c>
      <c r="Q47" s="9">
        <f t="shared" si="31"/>
        <v>24.282041904869988</v>
      </c>
      <c r="R47" s="11">
        <f t="shared" si="32"/>
        <v>3.4649631707200097E-2</v>
      </c>
    </row>
    <row r="48" spans="1:19" ht="14.25" customHeight="1">
      <c r="A48" s="12"/>
      <c r="D48" s="19"/>
      <c r="E48" s="19"/>
      <c r="P48" s="16" t="s">
        <v>59</v>
      </c>
      <c r="Q48" s="17">
        <f>AVERAGE(Q43:Q47)</f>
        <v>25.249814589386656</v>
      </c>
      <c r="R48" s="18">
        <f>AVERAGE(R43:R47)</f>
        <v>3.6030609766053781E-2</v>
      </c>
      <c r="S48" s="20"/>
    </row>
    <row r="50" spans="1:19" ht="14.25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9" s="1" customFormat="1" ht="41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82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9" ht="14.25" customHeight="1">
      <c r="A52" s="6" t="s">
        <v>74</v>
      </c>
      <c r="B52" s="7">
        <v>12.091119528619528</v>
      </c>
      <c r="C52" s="7">
        <v>452.17997222222209</v>
      </c>
      <c r="D52" s="8">
        <v>28.336493842584314</v>
      </c>
      <c r="E52" s="8">
        <v>19.429487179487179</v>
      </c>
      <c r="F52" s="6">
        <v>0.9</v>
      </c>
      <c r="G52" s="9">
        <f>'Summary N2O from residue'!H14*1000</f>
        <v>63.920888888888889</v>
      </c>
      <c r="H52" s="9">
        <f>D52*100/(3000*L52/1000)</f>
        <v>0.68445637300928297</v>
      </c>
      <c r="I52" s="6">
        <v>11</v>
      </c>
      <c r="J52" s="6">
        <v>0.85</v>
      </c>
      <c r="K52" s="6">
        <v>5000</v>
      </c>
      <c r="L52" s="6">
        <v>1380</v>
      </c>
      <c r="M52" s="6">
        <v>44.7</v>
      </c>
      <c r="N52" s="6">
        <f>N43</f>
        <v>1.865</v>
      </c>
      <c r="O52" s="6">
        <f t="shared" ref="O52:O56" si="35">M52*N52</f>
        <v>83.365500000000011</v>
      </c>
      <c r="P52" s="10">
        <f>((H52/100)*K52*L52)/I52*J52</f>
        <v>3649.396934272223</v>
      </c>
      <c r="Q52" s="9">
        <f>(21.37+(C52/(E52*F52))*((0.0037*G52)+(0.0000601*P52)-(0.00362*O52)))</f>
        <v>25.353615845918981</v>
      </c>
      <c r="R52" s="11">
        <f>(44/28)*0.0075*(14/62)*Q52/N52</f>
        <v>3.6178730559341274E-2</v>
      </c>
    </row>
    <row r="53" spans="1:19" ht="14.25" customHeight="1">
      <c r="A53" s="6" t="s">
        <v>48</v>
      </c>
      <c r="B53" s="7">
        <v>11.301823455437908</v>
      </c>
      <c r="C53" s="7">
        <v>421.26971084337367</v>
      </c>
      <c r="D53" s="8">
        <v>31.439481825212681</v>
      </c>
      <c r="E53" s="8">
        <v>18.611111111111111</v>
      </c>
      <c r="F53" s="6">
        <v>0.9</v>
      </c>
      <c r="G53" s="9">
        <f>G52</f>
        <v>63.920888888888889</v>
      </c>
      <c r="H53" s="9">
        <f t="shared" ref="H53:H56" si="36">D53*100/(3000*L53/1000)</f>
        <v>0.78795693797525512</v>
      </c>
      <c r="I53" s="6">
        <v>11</v>
      </c>
      <c r="J53" s="6">
        <v>0.85</v>
      </c>
      <c r="K53" s="6">
        <v>5000</v>
      </c>
      <c r="L53" s="6">
        <v>1330</v>
      </c>
      <c r="M53" s="6">
        <v>44.7</v>
      </c>
      <c r="N53" s="6">
        <f>$N52</f>
        <v>1.865</v>
      </c>
      <c r="O53" s="6">
        <f t="shared" si="35"/>
        <v>83.365500000000011</v>
      </c>
      <c r="P53" s="10">
        <f t="shared" ref="P53:P56" si="37">((H53/100)*K53*L53)/I53*J53</f>
        <v>4049.024174459209</v>
      </c>
      <c r="Q53" s="9">
        <f t="shared" ref="Q53:Q56" si="38">(21.37+(C53/(E53*F53))*((0.0037*G53)+(0.0000601*P53)-(0.00362*O53)))</f>
        <v>25.848550533140973</v>
      </c>
      <c r="R53" s="11">
        <f t="shared" ref="R53:R56" si="39">(44/28)*0.0075*(14/62)*Q53/N53</f>
        <v>3.6884985193879269E-2</v>
      </c>
    </row>
    <row r="54" spans="1:19" ht="14.25" customHeight="1">
      <c r="A54" s="6" t="s">
        <v>50</v>
      </c>
      <c r="B54" s="7">
        <v>12.096593444485013</v>
      </c>
      <c r="C54" s="7">
        <v>496.41086746987969</v>
      </c>
      <c r="D54" s="8">
        <v>30.655925943463235</v>
      </c>
      <c r="E54" s="8">
        <v>21.816326530612244</v>
      </c>
      <c r="F54" s="6">
        <v>0.9</v>
      </c>
      <c r="G54" s="9">
        <f t="shared" ref="G54:G56" si="40">G53</f>
        <v>63.920888888888889</v>
      </c>
      <c r="H54" s="9">
        <f t="shared" si="36"/>
        <v>0.76258522247420979</v>
      </c>
      <c r="I54" s="6">
        <v>11</v>
      </c>
      <c r="J54" s="6">
        <v>0.85</v>
      </c>
      <c r="K54" s="6">
        <v>5000</v>
      </c>
      <c r="L54" s="6">
        <v>1340</v>
      </c>
      <c r="M54" s="6">
        <v>44.7</v>
      </c>
      <c r="N54" s="6">
        <f t="shared" ref="N54:N56" si="41">$N53</f>
        <v>1.865</v>
      </c>
      <c r="O54" s="6">
        <f t="shared" si="35"/>
        <v>83.365500000000011</v>
      </c>
      <c r="P54" s="10">
        <f t="shared" si="37"/>
        <v>3948.1116745369322</v>
      </c>
      <c r="Q54" s="9">
        <f t="shared" si="38"/>
        <v>25.71870513273759</v>
      </c>
      <c r="R54" s="11">
        <f t="shared" si="39"/>
        <v>3.6699700310487776E-2</v>
      </c>
    </row>
    <row r="55" spans="1:19" ht="14.25" customHeight="1">
      <c r="A55" s="6" t="s">
        <v>72</v>
      </c>
      <c r="B55" s="7">
        <v>11.603975594537843</v>
      </c>
      <c r="C55" s="7">
        <v>481.02397590361437</v>
      </c>
      <c r="D55" s="8">
        <v>49.676624129930396</v>
      </c>
      <c r="E55" s="8">
        <v>22.944444444444443</v>
      </c>
      <c r="F55" s="6">
        <v>0.9</v>
      </c>
      <c r="G55" s="9">
        <f t="shared" si="40"/>
        <v>63.920888888888889</v>
      </c>
      <c r="H55" s="9">
        <f t="shared" si="36"/>
        <v>1.2640362374028091</v>
      </c>
      <c r="I55" s="6">
        <v>11</v>
      </c>
      <c r="J55" s="6">
        <v>0.85</v>
      </c>
      <c r="K55" s="6">
        <v>5000</v>
      </c>
      <c r="L55" s="6">
        <v>1310</v>
      </c>
      <c r="M55" s="6">
        <v>44.7</v>
      </c>
      <c r="N55" s="6">
        <f t="shared" si="41"/>
        <v>1.865</v>
      </c>
      <c r="O55" s="6">
        <f t="shared" si="35"/>
        <v>83.365500000000011</v>
      </c>
      <c r="P55" s="10">
        <f t="shared" si="37"/>
        <v>6397.7470470364906</v>
      </c>
      <c r="Q55" s="9">
        <f t="shared" si="38"/>
        <v>28.806159576482585</v>
      </c>
      <c r="R55" s="11">
        <f t="shared" si="39"/>
        <v>4.110539073008411E-2</v>
      </c>
    </row>
    <row r="56" spans="1:19" ht="14.25" customHeight="1">
      <c r="A56" s="6" t="s">
        <v>49</v>
      </c>
      <c r="B56" s="7">
        <v>11.401458865766095</v>
      </c>
      <c r="C56" s="7">
        <v>434.68886746987943</v>
      </c>
      <c r="D56" s="8">
        <v>29.911192895431629</v>
      </c>
      <c r="E56" s="8">
        <v>21.310344827586206</v>
      </c>
      <c r="F56" s="6">
        <v>0.9</v>
      </c>
      <c r="G56" s="9">
        <f t="shared" si="40"/>
        <v>63.920888888888889</v>
      </c>
      <c r="H56" s="9">
        <f t="shared" si="36"/>
        <v>0.75533315392504108</v>
      </c>
      <c r="I56" s="6">
        <v>11</v>
      </c>
      <c r="J56" s="6">
        <v>0.85</v>
      </c>
      <c r="K56" s="6">
        <v>5000</v>
      </c>
      <c r="L56" s="6">
        <v>1320</v>
      </c>
      <c r="M56" s="6">
        <v>44.7</v>
      </c>
      <c r="N56" s="6">
        <f t="shared" si="41"/>
        <v>1.865</v>
      </c>
      <c r="O56" s="6">
        <f t="shared" si="35"/>
        <v>83.365500000000011</v>
      </c>
      <c r="P56" s="10">
        <f t="shared" si="37"/>
        <v>3852.199085017709</v>
      </c>
      <c r="Q56" s="9">
        <f t="shared" si="38"/>
        <v>25.137771635510234</v>
      </c>
      <c r="R56" s="11">
        <f t="shared" si="39"/>
        <v>3.5870728356474854E-2</v>
      </c>
    </row>
    <row r="57" spans="1:19" ht="14.25" customHeight="1">
      <c r="A57" s="12"/>
      <c r="D57" s="19"/>
      <c r="E57" s="19"/>
      <c r="P57" s="16" t="s">
        <v>59</v>
      </c>
      <c r="Q57" s="17">
        <f>AVERAGE(Q52:Q56)</f>
        <v>26.172960544758077</v>
      </c>
      <c r="R57" s="18">
        <f>AVERAGE(R52:R56)</f>
        <v>3.7347907030053459E-2</v>
      </c>
      <c r="S57" s="20"/>
    </row>
    <row r="59" spans="1:19" ht="14.25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9" s="1" customFormat="1" ht="41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82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9" ht="14.25" customHeight="1">
      <c r="A61" s="6" t="s">
        <v>74</v>
      </c>
      <c r="B61" s="7">
        <v>12.091119528619528</v>
      </c>
      <c r="C61" s="7">
        <v>452.17997222222209</v>
      </c>
      <c r="D61" s="8">
        <v>28.336493842584314</v>
      </c>
      <c r="E61" s="8">
        <v>19.429487179487179</v>
      </c>
      <c r="F61" s="6">
        <v>0.9</v>
      </c>
      <c r="G61" s="9">
        <f>'Summary N2O from residue'!H15*1000</f>
        <v>74.12533333333333</v>
      </c>
      <c r="H61" s="9">
        <f>D61*100/(3000*L61/1000)</f>
        <v>0.68445637300928297</v>
      </c>
      <c r="I61" s="6">
        <v>11</v>
      </c>
      <c r="J61" s="6">
        <v>0.85</v>
      </c>
      <c r="K61" s="6">
        <v>5000</v>
      </c>
      <c r="L61" s="6">
        <v>1380</v>
      </c>
      <c r="M61" s="6">
        <v>44.7</v>
      </c>
      <c r="N61" s="6">
        <f>N52</f>
        <v>1.865</v>
      </c>
      <c r="O61" s="6">
        <f t="shared" ref="O61:O65" si="42">M61*N61</f>
        <v>83.365500000000011</v>
      </c>
      <c r="P61" s="10">
        <f>((H61/100)*K61*L61)/I61*J61</f>
        <v>3649.396934272223</v>
      </c>
      <c r="Q61" s="9">
        <f>(21.37+(C61/(E61*F61))*((0.0037*G61)+(0.0000601*P61)-(0.00362*O61)))</f>
        <v>26.329950186626267</v>
      </c>
      <c r="R61" s="11">
        <f>(44/28)*0.0075*(14/62)*Q61/N61</f>
        <v>3.7571925804664306E-2</v>
      </c>
    </row>
    <row r="62" spans="1:19" ht="14.25" customHeight="1">
      <c r="A62" s="6" t="s">
        <v>48</v>
      </c>
      <c r="B62" s="7">
        <v>11.301823455437908</v>
      </c>
      <c r="C62" s="7">
        <v>421.26971084337367</v>
      </c>
      <c r="D62" s="8">
        <v>31.439481825212681</v>
      </c>
      <c r="E62" s="8">
        <v>18.611111111111111</v>
      </c>
      <c r="F62" s="6">
        <v>0.9</v>
      </c>
      <c r="G62" s="9">
        <f>G61</f>
        <v>74.12533333333333</v>
      </c>
      <c r="H62" s="9">
        <f t="shared" ref="H62:H65" si="43">D62*100/(3000*L62/1000)</f>
        <v>0.78795693797525512</v>
      </c>
      <c r="I62" s="6">
        <v>11</v>
      </c>
      <c r="J62" s="6">
        <v>0.85</v>
      </c>
      <c r="K62" s="6">
        <v>5000</v>
      </c>
      <c r="L62" s="6">
        <v>1330</v>
      </c>
      <c r="M62" s="6">
        <v>44.7</v>
      </c>
      <c r="N62" s="6">
        <f>$N61</f>
        <v>1.865</v>
      </c>
      <c r="O62" s="6">
        <f t="shared" si="42"/>
        <v>83.365500000000011</v>
      </c>
      <c r="P62" s="10">
        <f t="shared" ref="P62:P65" si="44">((H62/100)*K62*L62)/I62*J62</f>
        <v>4049.024174459209</v>
      </c>
      <c r="Q62" s="9">
        <f t="shared" ref="Q62:Q65" si="45">(21.37+(C62/(E62*F62))*((0.0037*G62)+(0.0000601*P62)-(0.00362*O62)))</f>
        <v>26.798141364996795</v>
      </c>
      <c r="R62" s="11">
        <f t="shared" ref="R62:R65" si="46">(44/28)*0.0075*(14/62)*Q62/N62</f>
        <v>3.8240018379524954E-2</v>
      </c>
    </row>
    <row r="63" spans="1:19" ht="14.25" customHeight="1">
      <c r="A63" s="6" t="s">
        <v>50</v>
      </c>
      <c r="B63" s="7">
        <v>12.096593444485013</v>
      </c>
      <c r="C63" s="7">
        <v>496.41086746987969</v>
      </c>
      <c r="D63" s="8">
        <v>30.655925943463235</v>
      </c>
      <c r="E63" s="8">
        <v>21.816326530612244</v>
      </c>
      <c r="F63" s="6">
        <v>0.9</v>
      </c>
      <c r="G63" s="9">
        <f t="shared" ref="G63:G65" si="47">G62</f>
        <v>74.12533333333333</v>
      </c>
      <c r="H63" s="9">
        <f t="shared" si="43"/>
        <v>0.76258522247420979</v>
      </c>
      <c r="I63" s="6">
        <v>11</v>
      </c>
      <c r="J63" s="6">
        <v>0.85</v>
      </c>
      <c r="K63" s="6">
        <v>5000</v>
      </c>
      <c r="L63" s="6">
        <v>1340</v>
      </c>
      <c r="M63" s="6">
        <v>44.7</v>
      </c>
      <c r="N63" s="6">
        <f t="shared" ref="N63:N65" si="48">$N62</f>
        <v>1.865</v>
      </c>
      <c r="O63" s="6">
        <f t="shared" si="42"/>
        <v>83.365500000000011</v>
      </c>
      <c r="P63" s="10">
        <f t="shared" si="44"/>
        <v>3948.1116745369322</v>
      </c>
      <c r="Q63" s="9">
        <f t="shared" si="45"/>
        <v>26.673276131202407</v>
      </c>
      <c r="R63" s="11">
        <f t="shared" si="46"/>
        <v>3.8061840021174402E-2</v>
      </c>
    </row>
    <row r="64" spans="1:19" ht="14.25" customHeight="1">
      <c r="A64" s="6" t="s">
        <v>72</v>
      </c>
      <c r="B64" s="7">
        <v>11.603975594537843</v>
      </c>
      <c r="C64" s="7">
        <v>481.02397590361437</v>
      </c>
      <c r="D64" s="8">
        <v>49.676624129930396</v>
      </c>
      <c r="E64" s="8">
        <v>22.944444444444443</v>
      </c>
      <c r="F64" s="6">
        <v>0.9</v>
      </c>
      <c r="G64" s="9">
        <f t="shared" si="47"/>
        <v>74.12533333333333</v>
      </c>
      <c r="H64" s="9">
        <f t="shared" si="43"/>
        <v>1.2640362374028091</v>
      </c>
      <c r="I64" s="6">
        <v>11</v>
      </c>
      <c r="J64" s="6">
        <v>0.85</v>
      </c>
      <c r="K64" s="6">
        <v>5000</v>
      </c>
      <c r="L64" s="6">
        <v>1310</v>
      </c>
      <c r="M64" s="6">
        <v>44.7</v>
      </c>
      <c r="N64" s="6">
        <f t="shared" si="48"/>
        <v>1.865</v>
      </c>
      <c r="O64" s="6">
        <f t="shared" si="42"/>
        <v>83.365500000000011</v>
      </c>
      <c r="P64" s="10">
        <f t="shared" si="44"/>
        <v>6397.7470470364906</v>
      </c>
      <c r="Q64" s="9">
        <f t="shared" si="45"/>
        <v>29.685663451671477</v>
      </c>
      <c r="R64" s="11">
        <f t="shared" si="46"/>
        <v>4.2360412259152401E-2</v>
      </c>
    </row>
    <row r="65" spans="1:19" ht="14.25" customHeight="1">
      <c r="A65" s="6" t="s">
        <v>49</v>
      </c>
      <c r="B65" s="7">
        <v>11.401458865766095</v>
      </c>
      <c r="C65" s="7">
        <v>434.68886746987943</v>
      </c>
      <c r="D65" s="8">
        <v>29.911192895431629</v>
      </c>
      <c r="E65" s="8">
        <v>21.310344827586206</v>
      </c>
      <c r="F65" s="6">
        <v>0.9</v>
      </c>
      <c r="G65" s="9">
        <f t="shared" si="47"/>
        <v>74.12533333333333</v>
      </c>
      <c r="H65" s="9">
        <f t="shared" si="43"/>
        <v>0.75533315392504108</v>
      </c>
      <c r="I65" s="6">
        <v>11</v>
      </c>
      <c r="J65" s="6">
        <v>0.85</v>
      </c>
      <c r="K65" s="6">
        <v>5000</v>
      </c>
      <c r="L65" s="6">
        <v>1320</v>
      </c>
      <c r="M65" s="6">
        <v>44.7</v>
      </c>
      <c r="N65" s="6">
        <f t="shared" si="48"/>
        <v>1.865</v>
      </c>
      <c r="O65" s="6">
        <f t="shared" si="42"/>
        <v>83.365500000000011</v>
      </c>
      <c r="P65" s="10">
        <f t="shared" si="44"/>
        <v>3852.199085017709</v>
      </c>
      <c r="Q65" s="9">
        <f t="shared" si="45"/>
        <v>25.993501366150479</v>
      </c>
      <c r="R65" s="11">
        <f t="shared" si="46"/>
        <v>3.7091825005749618E-2</v>
      </c>
    </row>
    <row r="66" spans="1:19" ht="14.25" customHeight="1">
      <c r="A66" s="12"/>
      <c r="D66" s="19"/>
      <c r="E66" s="19"/>
      <c r="P66" s="16" t="s">
        <v>59</v>
      </c>
      <c r="Q66" s="17">
        <f>AVERAGE(Q61:Q65)</f>
        <v>27.09610650012948</v>
      </c>
      <c r="R66" s="18">
        <f>AVERAGE(R61:R65)</f>
        <v>3.8665204294053138E-2</v>
      </c>
      <c r="S66" s="20"/>
    </row>
    <row r="68" spans="1:19" ht="14.25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9" s="1" customFormat="1" ht="41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82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9" ht="14.25" customHeight="1">
      <c r="A70" s="6" t="s">
        <v>74</v>
      </c>
      <c r="B70" s="7">
        <v>12.091119528619528</v>
      </c>
      <c r="C70" s="7">
        <v>452.17997222222209</v>
      </c>
      <c r="D70" s="8">
        <v>28.336493842584314</v>
      </c>
      <c r="E70" s="8">
        <v>19.429487179487179</v>
      </c>
      <c r="F70" s="6">
        <v>0.9</v>
      </c>
      <c r="G70" s="9">
        <f>'Summary N2O from residue'!H16*1000</f>
        <v>75.47244444444442</v>
      </c>
      <c r="H70" s="9">
        <f>D70*100/(3000*L70/1000)</f>
        <v>0.68445637300928297</v>
      </c>
      <c r="I70" s="6">
        <v>11</v>
      </c>
      <c r="J70" s="6">
        <v>0.85</v>
      </c>
      <c r="K70" s="6">
        <v>5000</v>
      </c>
      <c r="L70" s="6">
        <v>1380</v>
      </c>
      <c r="M70" s="6">
        <v>44.7</v>
      </c>
      <c r="N70" s="6">
        <f>N61</f>
        <v>1.865</v>
      </c>
      <c r="O70" s="6">
        <f t="shared" ref="O70:O74" si="49">M70*N70</f>
        <v>83.365500000000011</v>
      </c>
      <c r="P70" s="10">
        <f>((H70/100)*K70*L70)/I70*J70</f>
        <v>3649.396934272223</v>
      </c>
      <c r="Q70" s="9">
        <f>(21.37+(C70/(E70*F70))*((0.0037*G70)+(0.0000601*P70)-(0.00362*O70)))</f>
        <v>26.458838226115976</v>
      </c>
      <c r="R70" s="11">
        <f>(44/28)*0.0075*(14/62)*Q70/N70</f>
        <v>3.7755844567232855E-2</v>
      </c>
    </row>
    <row r="71" spans="1:19" ht="14.25" customHeight="1">
      <c r="A71" s="6" t="s">
        <v>48</v>
      </c>
      <c r="B71" s="7">
        <v>11.301823455437908</v>
      </c>
      <c r="C71" s="7">
        <v>421.26971084337367</v>
      </c>
      <c r="D71" s="8">
        <v>31.439481825212681</v>
      </c>
      <c r="E71" s="8">
        <v>18.611111111111111</v>
      </c>
      <c r="F71" s="6">
        <v>0.9</v>
      </c>
      <c r="G71" s="9">
        <f>G70</f>
        <v>75.47244444444442</v>
      </c>
      <c r="H71" s="9">
        <f t="shared" ref="H71:H74" si="50">D71*100/(3000*L71/1000)</f>
        <v>0.78795693797525512</v>
      </c>
      <c r="I71" s="6">
        <v>11</v>
      </c>
      <c r="J71" s="6">
        <v>0.85</v>
      </c>
      <c r="K71" s="6">
        <v>5000</v>
      </c>
      <c r="L71" s="6">
        <v>1330</v>
      </c>
      <c r="M71" s="6">
        <v>44.7</v>
      </c>
      <c r="N71" s="6">
        <f>$N70</f>
        <v>1.865</v>
      </c>
      <c r="O71" s="6">
        <f t="shared" si="49"/>
        <v>83.365500000000011</v>
      </c>
      <c r="P71" s="10">
        <f t="shared" ref="P71:P73" si="51">((H71/100)*K71*L71)/I71*J71</f>
        <v>4049.024174459209</v>
      </c>
      <c r="Q71" s="9">
        <f t="shared" ref="Q71:Q74" si="52">(21.37+(C71/(E71*F71))*((0.0037*G71)+(0.0000601*P71)-(0.00362*O71)))</f>
        <v>26.923498935177761</v>
      </c>
      <c r="R71" s="11">
        <f t="shared" ref="R71:R74" si="53">(44/28)*0.0075*(14/62)*Q71/N71</f>
        <v>3.8418899284825128E-2</v>
      </c>
    </row>
    <row r="72" spans="1:19" ht="14.25" customHeight="1">
      <c r="A72" s="6" t="s">
        <v>50</v>
      </c>
      <c r="B72" s="7">
        <v>12.096593444485013</v>
      </c>
      <c r="C72" s="7">
        <v>496.41086746987969</v>
      </c>
      <c r="D72" s="8">
        <v>30.655925943463235</v>
      </c>
      <c r="E72" s="8">
        <v>21.816326530612244</v>
      </c>
      <c r="F72" s="6">
        <v>0.9</v>
      </c>
      <c r="G72" s="9">
        <f t="shared" ref="G72:G74" si="54">G71</f>
        <v>75.47244444444442</v>
      </c>
      <c r="H72" s="9">
        <f t="shared" si="50"/>
        <v>0.76258522247420979</v>
      </c>
      <c r="I72" s="6">
        <v>11</v>
      </c>
      <c r="J72" s="6">
        <v>0.85</v>
      </c>
      <c r="K72" s="6">
        <v>5000</v>
      </c>
      <c r="L72" s="6">
        <v>1340</v>
      </c>
      <c r="M72" s="6">
        <v>44.7</v>
      </c>
      <c r="N72" s="6">
        <f t="shared" ref="N72:N74" si="55">$N71</f>
        <v>1.865</v>
      </c>
      <c r="O72" s="6">
        <f t="shared" si="49"/>
        <v>83.365500000000011</v>
      </c>
      <c r="P72" s="10">
        <f t="shared" si="51"/>
        <v>3948.1116745369322</v>
      </c>
      <c r="Q72" s="9">
        <f t="shared" si="52"/>
        <v>26.799291144109503</v>
      </c>
      <c r="R72" s="11">
        <f t="shared" si="53"/>
        <v>3.8241659074444927E-2</v>
      </c>
    </row>
    <row r="73" spans="1:19" ht="14.25" customHeight="1">
      <c r="A73" s="6" t="s">
        <v>72</v>
      </c>
      <c r="B73" s="7">
        <v>11.603975594537843</v>
      </c>
      <c r="C73" s="7">
        <v>481.02397590361437</v>
      </c>
      <c r="D73" s="8">
        <v>49.676624129930396</v>
      </c>
      <c r="E73" s="8">
        <v>22.944444444444443</v>
      </c>
      <c r="F73" s="6">
        <v>0.9</v>
      </c>
      <c r="G73" s="9">
        <f t="shared" si="54"/>
        <v>75.47244444444442</v>
      </c>
      <c r="H73" s="9">
        <f t="shared" si="50"/>
        <v>1.2640362374028091</v>
      </c>
      <c r="I73" s="6">
        <v>11</v>
      </c>
      <c r="J73" s="6">
        <v>0.85</v>
      </c>
      <c r="K73" s="6">
        <v>5000</v>
      </c>
      <c r="L73" s="6">
        <v>1310</v>
      </c>
      <c r="M73" s="6">
        <v>44.7</v>
      </c>
      <c r="N73" s="6">
        <f t="shared" si="55"/>
        <v>1.865</v>
      </c>
      <c r="O73" s="6">
        <f t="shared" si="49"/>
        <v>83.365500000000011</v>
      </c>
      <c r="P73" s="10">
        <f t="shared" si="51"/>
        <v>6397.7470470364906</v>
      </c>
      <c r="Q73" s="9">
        <f t="shared" si="52"/>
        <v>29.801768688853421</v>
      </c>
      <c r="R73" s="11">
        <f t="shared" si="53"/>
        <v>4.2526090406130014E-2</v>
      </c>
    </row>
    <row r="74" spans="1:19" ht="14.25" customHeight="1">
      <c r="A74" s="6" t="s">
        <v>49</v>
      </c>
      <c r="B74" s="7">
        <v>11.401458865766095</v>
      </c>
      <c r="C74" s="7">
        <v>434.68886746987943</v>
      </c>
      <c r="D74" s="8">
        <v>29.911192895431629</v>
      </c>
      <c r="E74" s="8">
        <v>21.310344827586206</v>
      </c>
      <c r="F74" s="6">
        <v>0.9</v>
      </c>
      <c r="G74" s="9">
        <f t="shared" si="54"/>
        <v>75.47244444444442</v>
      </c>
      <c r="H74" s="9">
        <f t="shared" si="50"/>
        <v>0.75533315392504108</v>
      </c>
      <c r="I74" s="6">
        <v>11</v>
      </c>
      <c r="J74" s="6">
        <v>0.85</v>
      </c>
      <c r="K74" s="6">
        <v>5000</v>
      </c>
      <c r="L74" s="6">
        <v>1320</v>
      </c>
      <c r="M74" s="6">
        <v>44.7</v>
      </c>
      <c r="N74" s="6">
        <f t="shared" si="55"/>
        <v>1.865</v>
      </c>
      <c r="O74" s="6">
        <f t="shared" si="49"/>
        <v>83.365500000000011</v>
      </c>
      <c r="P74" s="10">
        <f>((H74/100)*K74*L74)/I74*J74</f>
        <v>3852.199085017709</v>
      </c>
      <c r="Q74" s="9">
        <f t="shared" si="52"/>
        <v>26.10646812632341</v>
      </c>
      <c r="R74" s="11">
        <f t="shared" si="53"/>
        <v>3.7253024654876433E-2</v>
      </c>
    </row>
    <row r="75" spans="1:19" ht="14.25" customHeight="1">
      <c r="A75" s="12"/>
      <c r="D75" s="19"/>
      <c r="E75" s="19"/>
      <c r="P75" s="16" t="s">
        <v>59</v>
      </c>
      <c r="Q75" s="17">
        <f>AVERAGE(Q70:Q74)</f>
        <v>27.217973024116013</v>
      </c>
      <c r="R75" s="18">
        <f>AVERAGE(R70:R74)</f>
        <v>3.8839103597501867E-2</v>
      </c>
      <c r="S75" s="20"/>
    </row>
    <row r="77" spans="1:19" ht="14.25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9" s="1" customFormat="1" ht="41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82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9" ht="14.25" customHeight="1">
      <c r="A79" s="6" t="s">
        <v>74</v>
      </c>
      <c r="B79" s="9">
        <v>12.091119528619528</v>
      </c>
      <c r="C79" s="9">
        <v>452.17997222222209</v>
      </c>
      <c r="D79" s="8">
        <v>28.336493842584314</v>
      </c>
      <c r="E79" s="8">
        <v>19.429487179487179</v>
      </c>
      <c r="F79" s="9">
        <v>0.9</v>
      </c>
      <c r="G79" s="9">
        <f>'Summary N2O from residue'!H17*1000</f>
        <v>85.676888888888868</v>
      </c>
      <c r="H79" s="9">
        <f>D79*100/(3000*L79/1000)</f>
        <v>0.68445637300928297</v>
      </c>
      <c r="I79" s="6">
        <v>11</v>
      </c>
      <c r="J79" s="6">
        <v>0.85</v>
      </c>
      <c r="K79" s="6">
        <v>5000</v>
      </c>
      <c r="L79" s="6">
        <v>1380</v>
      </c>
      <c r="M79" s="6">
        <v>44.7</v>
      </c>
      <c r="N79" s="6">
        <f>N70</f>
        <v>1.865</v>
      </c>
      <c r="O79" s="6">
        <f t="shared" ref="O79:O83" si="56">M79*N79</f>
        <v>83.365500000000011</v>
      </c>
      <c r="P79" s="10">
        <f>((H79/100)*K79*L79)/I79*J79</f>
        <v>3649.396934272223</v>
      </c>
      <c r="Q79" s="9">
        <f>(21.37+(C79/(E79*F79))*((0.0037*G79)+(0.0000601*P79)-(0.00362*O79)))</f>
        <v>27.435172566823262</v>
      </c>
      <c r="R79" s="11">
        <f>(44/28)*0.0075*(14/62)*Q79/N79</f>
        <v>3.9149039812555887E-2</v>
      </c>
    </row>
    <row r="80" spans="1:19" ht="14.25" customHeight="1">
      <c r="A80" s="6" t="s">
        <v>48</v>
      </c>
      <c r="B80" s="9">
        <v>11.301823455437908</v>
      </c>
      <c r="C80" s="9">
        <v>421.26971084337367</v>
      </c>
      <c r="D80" s="8">
        <v>31.439481825212681</v>
      </c>
      <c r="E80" s="8">
        <v>18.611111111111111</v>
      </c>
      <c r="F80" s="9">
        <v>0.9</v>
      </c>
      <c r="G80" s="9">
        <f>G79</f>
        <v>85.676888888888868</v>
      </c>
      <c r="H80" s="9">
        <f t="shared" ref="H80:H83" si="57">D80*100/(3000*L80/1000)</f>
        <v>0.78795693797525512</v>
      </c>
      <c r="I80" s="6">
        <v>11</v>
      </c>
      <c r="J80" s="6">
        <v>0.85</v>
      </c>
      <c r="K80" s="6">
        <v>5000</v>
      </c>
      <c r="L80" s="6">
        <v>1330</v>
      </c>
      <c r="M80" s="6">
        <v>44.7</v>
      </c>
      <c r="N80" s="6">
        <f>$N79</f>
        <v>1.865</v>
      </c>
      <c r="O80" s="6">
        <f t="shared" si="56"/>
        <v>83.365500000000011</v>
      </c>
      <c r="P80" s="10">
        <f t="shared" ref="P80:P83" si="58">((H80/100)*K80*L80)/I80*J80</f>
        <v>4049.024174459209</v>
      </c>
      <c r="Q80" s="9">
        <f t="shared" ref="Q80:Q83" si="59">(21.37+(C80/(E80*F80))*((0.0037*G80)+(0.0000601*P80)-(0.00362*O80)))</f>
        <v>27.873089767033584</v>
      </c>
      <c r="R80" s="11">
        <f t="shared" ref="R80:R83" si="60">(44/28)*0.0075*(14/62)*Q80/N80</f>
        <v>3.977393247047082E-2</v>
      </c>
    </row>
    <row r="81" spans="1:19" ht="14.25" customHeight="1">
      <c r="A81" s="6" t="s">
        <v>50</v>
      </c>
      <c r="B81" s="9">
        <v>12.096593444485013</v>
      </c>
      <c r="C81" s="9">
        <v>496.41086746987969</v>
      </c>
      <c r="D81" s="8">
        <v>30.655925943463235</v>
      </c>
      <c r="E81" s="8">
        <v>21.816326530612244</v>
      </c>
      <c r="F81" s="9">
        <v>0.9</v>
      </c>
      <c r="G81" s="9">
        <f t="shared" ref="G81:G83" si="61">G80</f>
        <v>85.676888888888868</v>
      </c>
      <c r="H81" s="9">
        <f t="shared" si="57"/>
        <v>0.76258522247420979</v>
      </c>
      <c r="I81" s="6">
        <v>11</v>
      </c>
      <c r="J81" s="6">
        <v>0.85</v>
      </c>
      <c r="K81" s="6">
        <v>5000</v>
      </c>
      <c r="L81" s="6">
        <v>1340</v>
      </c>
      <c r="M81" s="6">
        <v>44.7</v>
      </c>
      <c r="N81" s="6">
        <f t="shared" ref="N81:N83" si="62">$N80</f>
        <v>1.865</v>
      </c>
      <c r="O81" s="6">
        <f t="shared" si="56"/>
        <v>83.365500000000011</v>
      </c>
      <c r="P81" s="10">
        <f t="shared" si="58"/>
        <v>3948.1116745369322</v>
      </c>
      <c r="Q81" s="9">
        <f t="shared" si="59"/>
        <v>27.753862142574324</v>
      </c>
      <c r="R81" s="11">
        <f t="shared" si="60"/>
        <v>3.960379878513156E-2</v>
      </c>
    </row>
    <row r="82" spans="1:19" ht="14.25" customHeight="1">
      <c r="A82" s="6" t="s">
        <v>72</v>
      </c>
      <c r="B82" s="9">
        <v>11.603975594537843</v>
      </c>
      <c r="C82" s="9">
        <v>481.02397590361437</v>
      </c>
      <c r="D82" s="8">
        <v>49.676624129930396</v>
      </c>
      <c r="E82" s="8">
        <v>22.944444444444443</v>
      </c>
      <c r="F82" s="9">
        <v>0.9</v>
      </c>
      <c r="G82" s="9">
        <f t="shared" si="61"/>
        <v>85.676888888888868</v>
      </c>
      <c r="H82" s="9">
        <f t="shared" si="57"/>
        <v>1.2640362374028091</v>
      </c>
      <c r="I82" s="6">
        <v>11</v>
      </c>
      <c r="J82" s="6">
        <v>0.85</v>
      </c>
      <c r="K82" s="6">
        <v>5000</v>
      </c>
      <c r="L82" s="6">
        <v>1310</v>
      </c>
      <c r="M82" s="6">
        <v>44.7</v>
      </c>
      <c r="N82" s="6">
        <f t="shared" si="62"/>
        <v>1.865</v>
      </c>
      <c r="O82" s="6">
        <f t="shared" si="56"/>
        <v>83.365500000000011</v>
      </c>
      <c r="P82" s="10">
        <f t="shared" si="58"/>
        <v>6397.7470470364906</v>
      </c>
      <c r="Q82" s="9">
        <f t="shared" si="59"/>
        <v>30.681272564042317</v>
      </c>
      <c r="R82" s="11">
        <f t="shared" si="60"/>
        <v>4.3781111935198312E-2</v>
      </c>
    </row>
    <row r="83" spans="1:19" ht="14.25" customHeight="1">
      <c r="A83" s="6" t="s">
        <v>49</v>
      </c>
      <c r="B83" s="9">
        <v>11.401458865766095</v>
      </c>
      <c r="C83" s="9">
        <v>434.68886746987943</v>
      </c>
      <c r="D83" s="8">
        <v>29.911192895431629</v>
      </c>
      <c r="E83" s="8">
        <v>21.310344827586206</v>
      </c>
      <c r="F83" s="9">
        <v>0.9</v>
      </c>
      <c r="G83" s="9">
        <f t="shared" si="61"/>
        <v>85.676888888888868</v>
      </c>
      <c r="H83" s="9">
        <f t="shared" si="57"/>
        <v>0.75533315392504108</v>
      </c>
      <c r="I83" s="6">
        <v>11</v>
      </c>
      <c r="J83" s="6">
        <v>0.85</v>
      </c>
      <c r="K83" s="6">
        <v>5000</v>
      </c>
      <c r="L83" s="6">
        <v>1320</v>
      </c>
      <c r="M83" s="6">
        <v>44.7</v>
      </c>
      <c r="N83" s="6">
        <f t="shared" si="62"/>
        <v>1.865</v>
      </c>
      <c r="O83" s="6">
        <f t="shared" si="56"/>
        <v>83.365500000000011</v>
      </c>
      <c r="P83" s="10">
        <f t="shared" si="58"/>
        <v>3852.199085017709</v>
      </c>
      <c r="Q83" s="9">
        <f t="shared" si="59"/>
        <v>26.962197856963655</v>
      </c>
      <c r="R83" s="11">
        <f t="shared" si="60"/>
        <v>3.847412130415119E-2</v>
      </c>
    </row>
    <row r="84" spans="1:19" ht="14.25" customHeight="1">
      <c r="A84" s="12"/>
      <c r="D84" s="19"/>
      <c r="E84" s="19"/>
      <c r="P84" s="16" t="s">
        <v>59</v>
      </c>
      <c r="Q84" s="17">
        <f>AVERAGE(Q79:Q83)</f>
        <v>28.14111897948743</v>
      </c>
      <c r="R84" s="18">
        <f>AVERAGE(R79:R83)</f>
        <v>4.0156400861501552E-2</v>
      </c>
      <c r="S84" s="20"/>
    </row>
    <row r="86" spans="1:19" ht="14.25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9" s="1" customFormat="1" ht="41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82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9" ht="14.25" customHeight="1">
      <c r="A88" s="6" t="s">
        <v>74</v>
      </c>
      <c r="B88" s="7">
        <v>12.091119528619528</v>
      </c>
      <c r="C88" s="7">
        <v>452.17997222222209</v>
      </c>
      <c r="D88" s="8">
        <v>28.336493842584314</v>
      </c>
      <c r="E88" s="8">
        <v>19.429487179487179</v>
      </c>
      <c r="F88" s="6">
        <v>0.9</v>
      </c>
      <c r="G88" s="9">
        <f>'Summary N2O from residue'!H18*1000</f>
        <v>95.881333333333316</v>
      </c>
      <c r="H88" s="9">
        <f>D88*100/(3000*L88/1000)</f>
        <v>0.68445637300928297</v>
      </c>
      <c r="I88" s="6">
        <v>11</v>
      </c>
      <c r="J88" s="6">
        <v>0.85</v>
      </c>
      <c r="K88" s="6">
        <v>5000</v>
      </c>
      <c r="L88" s="6">
        <v>1380</v>
      </c>
      <c r="M88" s="6">
        <v>44.7</v>
      </c>
      <c r="N88" s="6">
        <f>N80</f>
        <v>1.865</v>
      </c>
      <c r="O88" s="6">
        <f t="shared" ref="O88:O92" si="63">M88*N88</f>
        <v>83.365500000000011</v>
      </c>
      <c r="P88" s="10">
        <f>((H88/100)*K88*L88)/I88*J88</f>
        <v>3649.396934272223</v>
      </c>
      <c r="Q88" s="9">
        <f>(21.37+(C88/(E88*F88))*((0.0037*G88)+(0.0000601*P88)-(0.00362*O88)))</f>
        <v>28.411506907530551</v>
      </c>
      <c r="R88" s="11">
        <f>(44/28)*0.0075*(14/62)*Q88/N88</f>
        <v>4.0542235057878927E-2</v>
      </c>
    </row>
    <row r="89" spans="1:19" ht="14.25" customHeight="1">
      <c r="A89" s="6" t="s">
        <v>48</v>
      </c>
      <c r="B89" s="7">
        <v>11.301823455437908</v>
      </c>
      <c r="C89" s="7">
        <v>421.26971084337367</v>
      </c>
      <c r="D89" s="8">
        <v>31.439481825212681</v>
      </c>
      <c r="E89" s="8">
        <v>18.611111111111111</v>
      </c>
      <c r="F89" s="6">
        <v>0.9</v>
      </c>
      <c r="G89" s="9">
        <f>G88</f>
        <v>95.881333333333316</v>
      </c>
      <c r="H89" s="9">
        <f t="shared" ref="H89:H92" si="64">D89*100/(3000*L89/1000)</f>
        <v>0.78795693797525512</v>
      </c>
      <c r="I89" s="6">
        <v>11</v>
      </c>
      <c r="J89" s="6">
        <v>0.85</v>
      </c>
      <c r="K89" s="6">
        <v>5000</v>
      </c>
      <c r="L89" s="6">
        <v>1330</v>
      </c>
      <c r="M89" s="6">
        <v>44.7</v>
      </c>
      <c r="N89" s="6">
        <f>$N88</f>
        <v>1.865</v>
      </c>
      <c r="O89" s="6">
        <f t="shared" si="63"/>
        <v>83.365500000000011</v>
      </c>
      <c r="P89" s="10">
        <f t="shared" ref="P89:P92" si="65">((H89/100)*K89*L89)/I89*J89</f>
        <v>4049.024174459209</v>
      </c>
      <c r="Q89" s="9">
        <f t="shared" ref="Q89:Q92" si="66">(21.37+(C89/(E89*F89))*((0.0037*G89)+(0.0000601*P89)-(0.00362*O89)))</f>
        <v>28.822680598889406</v>
      </c>
      <c r="R89" s="11">
        <f t="shared" ref="R89:R92" si="67">(44/28)*0.0075*(14/62)*Q89/N89</f>
        <v>4.1128965656116505E-2</v>
      </c>
    </row>
    <row r="90" spans="1:19" ht="14.25" customHeight="1">
      <c r="A90" s="6" t="s">
        <v>50</v>
      </c>
      <c r="B90" s="7">
        <v>12.096593444485013</v>
      </c>
      <c r="C90" s="7">
        <v>496.41086746987969</v>
      </c>
      <c r="D90" s="8">
        <v>30.655925943463235</v>
      </c>
      <c r="E90" s="8">
        <v>21.816326530612244</v>
      </c>
      <c r="F90" s="6">
        <v>0.9</v>
      </c>
      <c r="G90" s="9">
        <f t="shared" ref="G90:G92" si="68">G89</f>
        <v>95.881333333333316</v>
      </c>
      <c r="H90" s="9">
        <f t="shared" si="64"/>
        <v>0.76258522247420979</v>
      </c>
      <c r="I90" s="6">
        <v>11</v>
      </c>
      <c r="J90" s="6">
        <v>0.85</v>
      </c>
      <c r="K90" s="6">
        <v>5000</v>
      </c>
      <c r="L90" s="6">
        <v>1340</v>
      </c>
      <c r="M90" s="6">
        <v>44.7</v>
      </c>
      <c r="N90" s="6">
        <f t="shared" ref="N90:N92" si="69">$N89</f>
        <v>1.865</v>
      </c>
      <c r="O90" s="6">
        <f t="shared" si="63"/>
        <v>83.365500000000011</v>
      </c>
      <c r="P90" s="10">
        <f t="shared" si="65"/>
        <v>3948.1116745369322</v>
      </c>
      <c r="Q90" s="9">
        <f t="shared" si="66"/>
        <v>28.708433141039144</v>
      </c>
      <c r="R90" s="11">
        <f t="shared" si="67"/>
        <v>4.0965938495818199E-2</v>
      </c>
    </row>
    <row r="91" spans="1:19" ht="14.25" customHeight="1">
      <c r="A91" s="6" t="s">
        <v>72</v>
      </c>
      <c r="B91" s="7">
        <v>11.603975594537843</v>
      </c>
      <c r="C91" s="7">
        <v>481.02397590361437</v>
      </c>
      <c r="D91" s="8">
        <v>49.676624129930396</v>
      </c>
      <c r="E91" s="8">
        <v>22.944444444444443</v>
      </c>
      <c r="F91" s="6">
        <v>0.9</v>
      </c>
      <c r="G91" s="9">
        <f t="shared" si="68"/>
        <v>95.881333333333316</v>
      </c>
      <c r="H91" s="9">
        <f t="shared" si="64"/>
        <v>1.2640362374028091</v>
      </c>
      <c r="I91" s="6">
        <v>11</v>
      </c>
      <c r="J91" s="6">
        <v>0.85</v>
      </c>
      <c r="K91" s="6">
        <v>5000</v>
      </c>
      <c r="L91" s="6">
        <v>1310</v>
      </c>
      <c r="M91" s="6">
        <v>44.7</v>
      </c>
      <c r="N91" s="6">
        <f t="shared" si="69"/>
        <v>1.865</v>
      </c>
      <c r="O91" s="6">
        <f t="shared" si="63"/>
        <v>83.365500000000011</v>
      </c>
      <c r="P91" s="10">
        <f t="shared" si="65"/>
        <v>6397.7470470364906</v>
      </c>
      <c r="Q91" s="9">
        <f t="shared" si="66"/>
        <v>31.560776439231208</v>
      </c>
      <c r="R91" s="11">
        <f t="shared" si="67"/>
        <v>4.5036133464266617E-2</v>
      </c>
    </row>
    <row r="92" spans="1:19" ht="14.25" customHeight="1">
      <c r="A92" s="6" t="s">
        <v>49</v>
      </c>
      <c r="B92" s="7">
        <v>11.401458865766095</v>
      </c>
      <c r="C92" s="7">
        <v>434.68886746987943</v>
      </c>
      <c r="D92" s="8">
        <v>29.911192895431629</v>
      </c>
      <c r="E92" s="8">
        <v>21.310344827586206</v>
      </c>
      <c r="F92" s="6">
        <v>0.9</v>
      </c>
      <c r="G92" s="9">
        <f t="shared" si="68"/>
        <v>95.881333333333316</v>
      </c>
      <c r="H92" s="9">
        <f t="shared" si="64"/>
        <v>0.75533315392504108</v>
      </c>
      <c r="I92" s="6">
        <v>11</v>
      </c>
      <c r="J92" s="6">
        <v>0.85</v>
      </c>
      <c r="K92" s="6">
        <v>5000</v>
      </c>
      <c r="L92" s="6">
        <v>1320</v>
      </c>
      <c r="M92" s="6">
        <v>44.7</v>
      </c>
      <c r="N92" s="6">
        <f t="shared" si="69"/>
        <v>1.865</v>
      </c>
      <c r="O92" s="6">
        <f t="shared" si="63"/>
        <v>83.365500000000011</v>
      </c>
      <c r="P92" s="10">
        <f t="shared" si="65"/>
        <v>3852.199085017709</v>
      </c>
      <c r="Q92" s="9">
        <f t="shared" si="66"/>
        <v>27.817927587603901</v>
      </c>
      <c r="R92" s="11">
        <f t="shared" si="67"/>
        <v>3.9695217953425954E-2</v>
      </c>
    </row>
    <row r="93" spans="1:19" ht="14.25" customHeight="1">
      <c r="A93" s="12"/>
      <c r="D93" s="19"/>
      <c r="E93" s="19"/>
      <c r="P93" s="16" t="s">
        <v>59</v>
      </c>
      <c r="Q93" s="17">
        <f>AVERAGE(Q88:Q92)</f>
        <v>29.064264934858841</v>
      </c>
      <c r="R93" s="18">
        <f>AVERAGE(R88:R92)</f>
        <v>4.1473698125501238E-2</v>
      </c>
      <c r="S93" s="20"/>
    </row>
  </sheetData>
  <sortState ref="K49:K79">
    <sortCondition ref="K48"/>
  </sortState>
  <mergeCells count="2">
    <mergeCell ref="A2:C2"/>
    <mergeCell ref="A12:C12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3"/>
  <sheetViews>
    <sheetView topLeftCell="J25" zoomScale="104" zoomScaleNormal="104" workbookViewId="0">
      <selection activeCell="J10" sqref="A10:XFD10"/>
    </sheetView>
  </sheetViews>
  <sheetFormatPr defaultColWidth="12.54296875" defaultRowHeight="14.25" customHeight="1"/>
  <cols>
    <col min="1" max="12" width="12.54296875" style="1"/>
    <col min="13" max="13" width="14.7265625" style="1" customWidth="1"/>
    <col min="14" max="14" width="14" style="1" customWidth="1"/>
    <col min="15" max="16" width="12.54296875" style="1"/>
    <col min="17" max="17" width="16.26953125" style="1" customWidth="1"/>
    <col min="18" max="18" width="19" style="1" customWidth="1"/>
    <col min="19" max="16384" width="12.54296875" style="1"/>
  </cols>
  <sheetData>
    <row r="1" spans="1:27" ht="14.25" customHeight="1">
      <c r="A1" s="1" t="s">
        <v>2</v>
      </c>
    </row>
    <row r="2" spans="1:27" ht="14.25" customHeight="1">
      <c r="A2" s="2" t="s">
        <v>100</v>
      </c>
      <c r="B2" s="2"/>
      <c r="C2" s="2"/>
    </row>
    <row r="3" spans="1:27" ht="14.25" customHeight="1">
      <c r="D3" s="34"/>
    </row>
    <row r="4" spans="1:27" ht="41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82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27" ht="14.25" customHeight="1">
      <c r="A5" s="6" t="s">
        <v>52</v>
      </c>
      <c r="B5" s="7">
        <v>6.9750705843153762</v>
      </c>
      <c r="C5" s="7">
        <v>304.41106249999996</v>
      </c>
      <c r="D5" s="8">
        <v>42.991610970668653</v>
      </c>
      <c r="E5" s="8">
        <v>27.800995024875622</v>
      </c>
      <c r="F5" s="6">
        <v>0.9</v>
      </c>
      <c r="G5" s="9">
        <v>36.74</v>
      </c>
      <c r="H5" s="9">
        <f>D5*100/(3000*L5/1000)</f>
        <v>1.1023489992479141</v>
      </c>
      <c r="I5" s="6">
        <v>11</v>
      </c>
      <c r="J5" s="6">
        <v>0.85</v>
      </c>
      <c r="K5" s="6">
        <v>5000</v>
      </c>
      <c r="L5" s="6">
        <v>1300</v>
      </c>
      <c r="M5" s="6">
        <v>44.7</v>
      </c>
      <c r="N5" s="6">
        <f>'[1]Crop&amp;input data'!B12</f>
        <v>1.865</v>
      </c>
      <c r="O5" s="9">
        <f t="shared" ref="O5" si="0">M5*N5</f>
        <v>83.365500000000011</v>
      </c>
      <c r="P5" s="10">
        <f>((H5/100)*K5*L5)/I5*J5</f>
        <v>5536.7983825861138</v>
      </c>
      <c r="Q5" s="9">
        <f>(21.37+(C5/(E5*F5))*((0.0037*G5)+(0.0000601*P5)-(0.00362*O5)))</f>
        <v>23.400751488744053</v>
      </c>
      <c r="R5" s="11">
        <f t="shared" ref="R5:R9" si="1">(44/28)*0.0075*(14/62)*Q5/N5</f>
        <v>3.3392060846171134E-2</v>
      </c>
    </row>
    <row r="6" spans="1:27" ht="14.25" customHeight="1">
      <c r="A6" s="6" t="s">
        <v>55</v>
      </c>
      <c r="B6" s="7">
        <v>5.8812183713381305</v>
      </c>
      <c r="C6" s="7">
        <v>428.44020359281427</v>
      </c>
      <c r="D6" s="8">
        <v>58.043681956095014</v>
      </c>
      <c r="E6" s="8">
        <v>31.024725274725274</v>
      </c>
      <c r="F6" s="6">
        <v>0.9</v>
      </c>
      <c r="G6" s="9">
        <f>$G5</f>
        <v>36.74</v>
      </c>
      <c r="H6" s="9">
        <f>D6*100/(3000*L6/1000)</f>
        <v>1.4882995373357697</v>
      </c>
      <c r="I6" s="6">
        <v>11</v>
      </c>
      <c r="J6" s="6">
        <v>0.85</v>
      </c>
      <c r="K6" s="6">
        <v>5000</v>
      </c>
      <c r="L6" s="6">
        <v>1300</v>
      </c>
      <c r="M6" s="6">
        <v>44.7</v>
      </c>
      <c r="N6" s="9">
        <f>$N5</f>
        <v>1.865</v>
      </c>
      <c r="O6" s="9">
        <f t="shared" ref="O6:O9" si="2">M6*N6</f>
        <v>83.365500000000011</v>
      </c>
      <c r="P6" s="10">
        <f t="shared" ref="P6:P9" si="3">((H6/100)*K6*L6)/I6*J6</f>
        <v>7475.3226761637525</v>
      </c>
      <c r="Q6" s="9">
        <f t="shared" ref="Q6:Q9" si="4">(21.37+(C6/(E6*F6))*((0.0037*G6)+(0.0000601*P6)-(0.00362*O6)))</f>
        <v>25.718835584315784</v>
      </c>
      <c r="R6" s="11">
        <f t="shared" si="1"/>
        <v>3.6699886460365851E-2</v>
      </c>
    </row>
    <row r="7" spans="1:27" ht="14.25" customHeight="1">
      <c r="A7" s="6" t="s">
        <v>51</v>
      </c>
      <c r="B7" s="7">
        <v>6.0821346177827662</v>
      </c>
      <c r="C7" s="7">
        <v>283.9155555555555</v>
      </c>
      <c r="D7" s="8">
        <v>48.008079217765967</v>
      </c>
      <c r="E7" s="8">
        <v>24.002857142857142</v>
      </c>
      <c r="F7" s="6">
        <v>0.9</v>
      </c>
      <c r="G7" s="9">
        <f>$G6</f>
        <v>36.74</v>
      </c>
      <c r="H7" s="9">
        <f t="shared" ref="H6:H9" si="5">D7*100/(3000*L7/1000)</f>
        <v>1.2309763901991275</v>
      </c>
      <c r="I7" s="6">
        <v>11</v>
      </c>
      <c r="J7" s="6">
        <v>0.85</v>
      </c>
      <c r="K7" s="6">
        <v>5000</v>
      </c>
      <c r="L7" s="6">
        <v>1300</v>
      </c>
      <c r="M7" s="6">
        <v>44.7</v>
      </c>
      <c r="N7" s="9">
        <f>$N6</f>
        <v>1.865</v>
      </c>
      <c r="O7" s="9">
        <f t="shared" si="2"/>
        <v>83.365500000000011</v>
      </c>
      <c r="P7" s="10">
        <f t="shared" si="3"/>
        <v>6182.8586871365269</v>
      </c>
      <c r="Q7" s="9">
        <f t="shared" si="4"/>
        <v>24.074035497441717</v>
      </c>
      <c r="R7" s="11">
        <f t="shared" si="1"/>
        <v>3.4352813777375098E-2</v>
      </c>
    </row>
    <row r="8" spans="1:27" ht="14.25" customHeight="1">
      <c r="A8" s="6" t="s">
        <v>54</v>
      </c>
      <c r="B8" s="7">
        <v>5.2317200422039125</v>
      </c>
      <c r="C8" s="7">
        <v>325.95457142857134</v>
      </c>
      <c r="D8" s="8">
        <v>43.478177233770509</v>
      </c>
      <c r="E8" s="8">
        <v>23.826530612244898</v>
      </c>
      <c r="F8" s="6">
        <v>0.9</v>
      </c>
      <c r="G8" s="9">
        <f>$G7</f>
        <v>36.74</v>
      </c>
      <c r="H8" s="9">
        <f t="shared" si="5"/>
        <v>1.1148250572761669</v>
      </c>
      <c r="I8" s="6">
        <v>11</v>
      </c>
      <c r="J8" s="6">
        <v>0.85</v>
      </c>
      <c r="K8" s="6">
        <v>5000</v>
      </c>
      <c r="L8" s="6">
        <v>1300</v>
      </c>
      <c r="M8" s="6">
        <v>44.7</v>
      </c>
      <c r="N8" s="9">
        <f>$N7</f>
        <v>1.865</v>
      </c>
      <c r="O8" s="9">
        <f t="shared" si="2"/>
        <v>83.365500000000011</v>
      </c>
      <c r="P8" s="10">
        <f t="shared" si="3"/>
        <v>5599.4622195007469</v>
      </c>
      <c r="Q8" s="9">
        <f t="shared" si="4"/>
        <v>23.964435806869627</v>
      </c>
      <c r="R8" s="11">
        <f t="shared" si="1"/>
        <v>3.4196418819800123E-2</v>
      </c>
    </row>
    <row r="9" spans="1:27" ht="14.25" customHeight="1">
      <c r="A9" s="6" t="s">
        <v>53</v>
      </c>
      <c r="B9" s="7">
        <v>4.6171828171828171</v>
      </c>
      <c r="C9" s="7">
        <v>331.23553846153845</v>
      </c>
      <c r="D9" s="8">
        <v>48.966219929173299</v>
      </c>
      <c r="E9" s="8">
        <v>25.710526315789473</v>
      </c>
      <c r="F9" s="6">
        <v>0.9</v>
      </c>
      <c r="G9" s="9">
        <f>$G8</f>
        <v>36.74</v>
      </c>
      <c r="H9" s="9">
        <f t="shared" si="5"/>
        <v>1.2555441007480335</v>
      </c>
      <c r="I9" s="6">
        <v>11</v>
      </c>
      <c r="J9" s="6">
        <v>0.85</v>
      </c>
      <c r="K9" s="6">
        <v>5000</v>
      </c>
      <c r="L9" s="6">
        <v>1300</v>
      </c>
      <c r="M9" s="6">
        <v>44.7</v>
      </c>
      <c r="N9" s="9">
        <f>$N8</f>
        <v>1.865</v>
      </c>
      <c r="O9" s="9">
        <f t="shared" si="2"/>
        <v>83.365500000000011</v>
      </c>
      <c r="P9" s="10">
        <f t="shared" si="3"/>
        <v>6306.2555969389859</v>
      </c>
      <c r="Q9" s="9">
        <f t="shared" si="4"/>
        <v>24.421342063697818</v>
      </c>
      <c r="R9" s="11">
        <f t="shared" si="1"/>
        <v>3.484840820297621E-2</v>
      </c>
    </row>
    <row r="10" spans="1:27" ht="14.25" customHeight="1">
      <c r="D10" s="19"/>
      <c r="F10" s="19"/>
      <c r="P10" s="16" t="s">
        <v>59</v>
      </c>
      <c r="Q10" s="17">
        <f>AVERAGE(Q5:Q9)</f>
        <v>24.315880088213799</v>
      </c>
      <c r="R10" s="18">
        <f>AVERAGE(R5:R9)</f>
        <v>3.4697917621337684E-2</v>
      </c>
    </row>
    <row r="11" spans="1:27" ht="14.25" customHeight="1">
      <c r="B11" s="34"/>
      <c r="C11" s="34"/>
      <c r="D11" s="34"/>
      <c r="AA11" s="26"/>
    </row>
    <row r="12" spans="1:27" ht="14.5" customHeight="1">
      <c r="A12" s="21" t="s">
        <v>121</v>
      </c>
      <c r="B12" s="21"/>
      <c r="C12" s="21"/>
    </row>
    <row r="13" spans="1:27" ht="14.25" customHeight="1">
      <c r="A13" s="3"/>
      <c r="B13" s="3"/>
      <c r="C13" s="3"/>
    </row>
    <row r="14" spans="1:27" ht="14.25" customHeight="1">
      <c r="A14" s="22" t="s">
        <v>101</v>
      </c>
      <c r="B14" s="34"/>
      <c r="C14" s="34"/>
    </row>
    <row r="15" spans="1:27" ht="41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82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27" ht="14.25" customHeight="1">
      <c r="A16" s="6" t="s">
        <v>52</v>
      </c>
      <c r="B16" s="7">
        <v>6.9750705843153762</v>
      </c>
      <c r="C16" s="7">
        <v>304.41106249999996</v>
      </c>
      <c r="D16" s="8">
        <v>42.991610970668653</v>
      </c>
      <c r="E16" s="8">
        <v>27.800995024875622</v>
      </c>
      <c r="F16" s="6">
        <v>0.9</v>
      </c>
      <c r="G16" s="9">
        <f>'Summary N2O from residue'!H10*1000</f>
        <v>31.960444444444445</v>
      </c>
      <c r="H16" s="9">
        <f>D16*100/(3000*L16/1000)</f>
        <v>1.1023489992479141</v>
      </c>
      <c r="I16" s="6">
        <v>11</v>
      </c>
      <c r="J16" s="6">
        <v>0.85</v>
      </c>
      <c r="K16" s="6">
        <v>5000</v>
      </c>
      <c r="L16" s="6">
        <v>1300</v>
      </c>
      <c r="M16" s="6">
        <v>44.7</v>
      </c>
      <c r="N16" s="9">
        <f>N5</f>
        <v>1.865</v>
      </c>
      <c r="O16" s="9">
        <f t="shared" ref="O16:O20" si="6">M16*N16</f>
        <v>83.365500000000011</v>
      </c>
      <c r="P16" s="10">
        <f>((H16/100)*K16*L16)/I16*J16</f>
        <v>5536.7983825861138</v>
      </c>
      <c r="Q16" s="9">
        <f>(21.37+(C16/(E16*F16))*((0.0037*G16)+(0.0000601*P16)-(0.00362*O16)))</f>
        <v>23.185598779302556</v>
      </c>
      <c r="R16" s="11">
        <f t="shared" ref="R16:R20" si="7">(44/28)*0.0075*(14/62)*Q16/N16</f>
        <v>3.3085045391204021E-2</v>
      </c>
    </row>
    <row r="17" spans="1:18" ht="14.25" customHeight="1">
      <c r="A17" s="6" t="s">
        <v>55</v>
      </c>
      <c r="B17" s="7">
        <v>5.8812183713381305</v>
      </c>
      <c r="C17" s="7">
        <v>428.44020359281427</v>
      </c>
      <c r="D17" s="8">
        <v>58.043681956095014</v>
      </c>
      <c r="E17" s="8">
        <v>31.024725274725274</v>
      </c>
      <c r="F17" s="6">
        <v>0.9</v>
      </c>
      <c r="G17" s="9">
        <f>$G16</f>
        <v>31.960444444444445</v>
      </c>
      <c r="H17" s="9">
        <f t="shared" ref="H17:H20" si="8">D17*100/(3000*L17/1000)</f>
        <v>1.4882995373357697</v>
      </c>
      <c r="I17" s="6">
        <v>11</v>
      </c>
      <c r="J17" s="6">
        <v>0.85</v>
      </c>
      <c r="K17" s="6">
        <v>5000</v>
      </c>
      <c r="L17" s="6">
        <v>1300</v>
      </c>
      <c r="M17" s="6">
        <v>44.7</v>
      </c>
      <c r="N17" s="9">
        <f>$N16</f>
        <v>1.865</v>
      </c>
      <c r="O17" s="9">
        <f t="shared" si="6"/>
        <v>83.365500000000011</v>
      </c>
      <c r="P17" s="10">
        <f t="shared" ref="P17:P20" si="9">((H17/100)*K17*L17)/I17*J17</f>
        <v>7475.3226761637525</v>
      </c>
      <c r="Q17" s="9">
        <f t="shared" ref="Q16:Q20" si="10">(21.37+(C17/(E17*F17))*((0.0037*G17)+(0.0000601*P17)-(0.00362*O17)))</f>
        <v>25.447486099615791</v>
      </c>
      <c r="R17" s="11">
        <f t="shared" si="7"/>
        <v>3.6312680155985509E-2</v>
      </c>
    </row>
    <row r="18" spans="1:18" ht="14.25" customHeight="1">
      <c r="A18" s="6" t="s">
        <v>51</v>
      </c>
      <c r="B18" s="7">
        <v>6.0821346177827662</v>
      </c>
      <c r="C18" s="7">
        <v>283.9155555555555</v>
      </c>
      <c r="D18" s="8">
        <v>48.008079217765967</v>
      </c>
      <c r="E18" s="8">
        <v>24.002857142857142</v>
      </c>
      <c r="F18" s="6">
        <v>0.9</v>
      </c>
      <c r="G18" s="9">
        <f>$G17</f>
        <v>31.960444444444445</v>
      </c>
      <c r="H18" s="9">
        <f t="shared" si="8"/>
        <v>1.2309763901991275</v>
      </c>
      <c r="I18" s="6">
        <v>11</v>
      </c>
      <c r="J18" s="6">
        <v>0.85</v>
      </c>
      <c r="K18" s="6">
        <v>5000</v>
      </c>
      <c r="L18" s="6">
        <v>1300</v>
      </c>
      <c r="M18" s="6">
        <v>44.7</v>
      </c>
      <c r="N18" s="9">
        <f>$N17</f>
        <v>1.865</v>
      </c>
      <c r="O18" s="9">
        <f t="shared" si="6"/>
        <v>83.365500000000011</v>
      </c>
      <c r="P18" s="10">
        <f t="shared" si="9"/>
        <v>6182.8586871365269</v>
      </c>
      <c r="Q18" s="9">
        <f t="shared" si="10"/>
        <v>23.841615776076651</v>
      </c>
      <c r="R18" s="11">
        <f t="shared" si="7"/>
        <v>3.4021158895205801E-2</v>
      </c>
    </row>
    <row r="19" spans="1:18" ht="14.25" customHeight="1">
      <c r="A19" s="6" t="s">
        <v>54</v>
      </c>
      <c r="B19" s="7">
        <v>5.2317200422039125</v>
      </c>
      <c r="C19" s="7">
        <v>325.95457142857134</v>
      </c>
      <c r="D19" s="8">
        <v>43.478177233770509</v>
      </c>
      <c r="E19" s="8">
        <v>23.826530612244898</v>
      </c>
      <c r="F19" s="6">
        <v>0.9</v>
      </c>
      <c r="G19" s="9">
        <f>$G18</f>
        <v>31.960444444444445</v>
      </c>
      <c r="H19" s="9">
        <f t="shared" si="8"/>
        <v>1.1148250572761669</v>
      </c>
      <c r="I19" s="6">
        <v>11</v>
      </c>
      <c r="J19" s="6">
        <v>0.85</v>
      </c>
      <c r="K19" s="6">
        <v>5000</v>
      </c>
      <c r="L19" s="6">
        <v>1300</v>
      </c>
      <c r="M19" s="6">
        <v>44.7</v>
      </c>
      <c r="N19" s="9">
        <f>$N18</f>
        <v>1.865</v>
      </c>
      <c r="O19" s="9">
        <f t="shared" si="6"/>
        <v>83.365500000000011</v>
      </c>
      <c r="P19" s="10">
        <f t="shared" si="9"/>
        <v>5599.4622195007469</v>
      </c>
      <c r="Q19" s="9">
        <f t="shared" si="10"/>
        <v>23.69562730792223</v>
      </c>
      <c r="R19" s="11">
        <f t="shared" si="7"/>
        <v>3.3812838413968413E-2</v>
      </c>
    </row>
    <row r="20" spans="1:18" ht="14.25" customHeight="1">
      <c r="A20" s="6" t="s">
        <v>53</v>
      </c>
      <c r="B20" s="7">
        <v>4.6171828171828171</v>
      </c>
      <c r="C20" s="7">
        <v>331.23553846153845</v>
      </c>
      <c r="D20" s="8">
        <v>48.966219929173299</v>
      </c>
      <c r="E20" s="8">
        <v>25.710526315789473</v>
      </c>
      <c r="F20" s="6">
        <v>0.9</v>
      </c>
      <c r="G20" s="9">
        <f>$G19</f>
        <v>31.960444444444445</v>
      </c>
      <c r="H20" s="9">
        <f t="shared" si="8"/>
        <v>1.2555441007480335</v>
      </c>
      <c r="I20" s="6">
        <v>11</v>
      </c>
      <c r="J20" s="6">
        <v>0.85</v>
      </c>
      <c r="K20" s="6">
        <v>5000</v>
      </c>
      <c r="L20" s="6">
        <v>1300</v>
      </c>
      <c r="M20" s="6">
        <v>44.7</v>
      </c>
      <c r="N20" s="9">
        <f>$N19</f>
        <v>1.865</v>
      </c>
      <c r="O20" s="9">
        <f t="shared" si="6"/>
        <v>83.365500000000011</v>
      </c>
      <c r="P20" s="10">
        <f t="shared" si="9"/>
        <v>6306.2555969389859</v>
      </c>
      <c r="Q20" s="9">
        <f t="shared" si="10"/>
        <v>24.168195120308745</v>
      </c>
      <c r="R20" s="11">
        <f t="shared" si="7"/>
        <v>3.4487176293790042E-2</v>
      </c>
    </row>
    <row r="21" spans="1:18" ht="14.25" customHeight="1">
      <c r="D21" s="19"/>
      <c r="F21" s="19"/>
      <c r="P21" s="16" t="s">
        <v>59</v>
      </c>
      <c r="Q21" s="17">
        <f>AVERAGE(Q16:Q20)</f>
        <v>24.067704616645194</v>
      </c>
      <c r="R21" s="18">
        <f>AVERAGE(R16:R20)</f>
        <v>3.4343779830030764E-2</v>
      </c>
    </row>
    <row r="22" spans="1:18" ht="14.25" customHeight="1">
      <c r="A22" s="12"/>
      <c r="D22" s="19"/>
      <c r="E22" s="19"/>
    </row>
    <row r="23" spans="1:18" ht="14.25" customHeight="1">
      <c r="A23" s="22" t="s">
        <v>102</v>
      </c>
    </row>
    <row r="24" spans="1:18" ht="41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82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8" ht="14.25" customHeight="1">
      <c r="A25" s="6" t="s">
        <v>52</v>
      </c>
      <c r="B25" s="7">
        <v>6.9750705843153762</v>
      </c>
      <c r="C25" s="7">
        <v>304.41106249999996</v>
      </c>
      <c r="D25" s="8">
        <v>42.991610970668653</v>
      </c>
      <c r="E25" s="8">
        <v>27.800995024875622</v>
      </c>
      <c r="F25" s="6">
        <v>0.9</v>
      </c>
      <c r="G25" s="9">
        <f>'Summary N2O from residue'!H11*1000</f>
        <v>42.164888888888889</v>
      </c>
      <c r="H25" s="9">
        <f>D25*100/(3000*L25/1000)</f>
        <v>1.1023489992479141</v>
      </c>
      <c r="I25" s="6">
        <v>11</v>
      </c>
      <c r="J25" s="6">
        <v>0.85</v>
      </c>
      <c r="K25" s="6">
        <v>5000</v>
      </c>
      <c r="L25" s="6">
        <v>1300</v>
      </c>
      <c r="M25" s="6">
        <v>44.7</v>
      </c>
      <c r="N25" s="9">
        <f>N16</f>
        <v>1.865</v>
      </c>
      <c r="O25" s="9">
        <f t="shared" ref="O25:O29" si="11">M25*N25</f>
        <v>83.365500000000011</v>
      </c>
      <c r="P25" s="10">
        <f>((H25/100)*K25*L25)/I25*J25</f>
        <v>5536.7983825861138</v>
      </c>
      <c r="Q25" s="9">
        <f t="shared" ref="Q25:Q29" si="12">(21.37+(C25/(E25*F25))*((0.0037*G25)+(0.0000601*P25)-(0.00362*O25)))</f>
        <v>23.644954015379998</v>
      </c>
      <c r="R25" s="11">
        <f t="shared" ref="R25:R29" si="13">(44/28)*0.0075*(14/62)*Q25/N25</f>
        <v>3.3740529382839217E-2</v>
      </c>
    </row>
    <row r="26" spans="1:18" ht="14.25" customHeight="1">
      <c r="A26" s="6" t="s">
        <v>55</v>
      </c>
      <c r="B26" s="7">
        <v>5.8812183713381305</v>
      </c>
      <c r="C26" s="7">
        <v>428.44020359281427</v>
      </c>
      <c r="D26" s="8">
        <v>58.043681956095014</v>
      </c>
      <c r="E26" s="8">
        <v>31.024725274725274</v>
      </c>
      <c r="F26" s="6">
        <v>0.9</v>
      </c>
      <c r="G26" s="9">
        <f>$G25</f>
        <v>42.164888888888889</v>
      </c>
      <c r="H26" s="9">
        <f t="shared" ref="H26:H29" si="14">D26*100/(3000*L26/1000)</f>
        <v>1.4882995373357697</v>
      </c>
      <c r="I26" s="6">
        <v>11</v>
      </c>
      <c r="J26" s="6">
        <v>0.85</v>
      </c>
      <c r="K26" s="6">
        <v>5000</v>
      </c>
      <c r="L26" s="6">
        <v>1300</v>
      </c>
      <c r="M26" s="6">
        <v>44.7</v>
      </c>
      <c r="N26" s="9">
        <f>$N25</f>
        <v>1.865</v>
      </c>
      <c r="O26" s="9">
        <f t="shared" si="11"/>
        <v>83.365500000000011</v>
      </c>
      <c r="P26" s="10">
        <f t="shared" ref="P26:P29" si="15">((H26/100)*K26*L26)/I26*J26</f>
        <v>7475.3226761637525</v>
      </c>
      <c r="Q26" s="9">
        <f t="shared" si="12"/>
        <v>26.026822548259254</v>
      </c>
      <c r="R26" s="11">
        <f t="shared" si="13"/>
        <v>3.7139373177054194E-2</v>
      </c>
    </row>
    <row r="27" spans="1:18" ht="14.25" customHeight="1">
      <c r="A27" s="6" t="s">
        <v>51</v>
      </c>
      <c r="B27" s="7">
        <v>6.0821346177827662</v>
      </c>
      <c r="C27" s="7">
        <v>283.9155555555555</v>
      </c>
      <c r="D27" s="8">
        <v>48.008079217765967</v>
      </c>
      <c r="E27" s="8">
        <v>24.002857142857142</v>
      </c>
      <c r="F27" s="6">
        <v>0.9</v>
      </c>
      <c r="G27" s="9">
        <f>$G26</f>
        <v>42.164888888888889</v>
      </c>
      <c r="H27" s="9">
        <f t="shared" si="14"/>
        <v>1.2309763901991275</v>
      </c>
      <c r="I27" s="6">
        <v>11</v>
      </c>
      <c r="J27" s="6">
        <v>0.85</v>
      </c>
      <c r="K27" s="6">
        <v>5000</v>
      </c>
      <c r="L27" s="6">
        <v>1300</v>
      </c>
      <c r="M27" s="6">
        <v>44.7</v>
      </c>
      <c r="N27" s="9">
        <f>$N26</f>
        <v>1.865</v>
      </c>
      <c r="O27" s="9">
        <f t="shared" si="11"/>
        <v>83.365500000000011</v>
      </c>
      <c r="P27" s="10">
        <f t="shared" si="15"/>
        <v>6182.8586871365269</v>
      </c>
      <c r="Q27" s="9">
        <f t="shared" si="12"/>
        <v>24.337836419794517</v>
      </c>
      <c r="R27" s="11">
        <f t="shared" si="13"/>
        <v>3.4729248545066975E-2</v>
      </c>
    </row>
    <row r="28" spans="1:18" ht="14.25" customHeight="1">
      <c r="A28" s="6" t="s">
        <v>54</v>
      </c>
      <c r="B28" s="7">
        <v>5.2317200422039125</v>
      </c>
      <c r="C28" s="7">
        <v>325.95457142857134</v>
      </c>
      <c r="D28" s="8">
        <v>43.478177233770509</v>
      </c>
      <c r="E28" s="8">
        <v>23.826530612244898</v>
      </c>
      <c r="F28" s="6">
        <v>0.9</v>
      </c>
      <c r="G28" s="9">
        <f>$G27</f>
        <v>42.164888888888889</v>
      </c>
      <c r="H28" s="9">
        <f t="shared" si="14"/>
        <v>1.1148250572761669</v>
      </c>
      <c r="I28" s="6">
        <v>11</v>
      </c>
      <c r="J28" s="6">
        <v>0.85</v>
      </c>
      <c r="K28" s="6">
        <v>5000</v>
      </c>
      <c r="L28" s="6">
        <v>1300</v>
      </c>
      <c r="M28" s="6">
        <v>44.7</v>
      </c>
      <c r="N28" s="9">
        <f>$N27</f>
        <v>1.865</v>
      </c>
      <c r="O28" s="9">
        <f t="shared" si="11"/>
        <v>83.365500000000011</v>
      </c>
      <c r="P28" s="10">
        <f t="shared" si="15"/>
        <v>5599.4622195007469</v>
      </c>
      <c r="Q28" s="9">
        <f t="shared" si="12"/>
        <v>24.269538702364503</v>
      </c>
      <c r="R28" s="11">
        <f t="shared" si="13"/>
        <v>3.4631790070830594E-2</v>
      </c>
    </row>
    <row r="29" spans="1:18" ht="14.25" customHeight="1">
      <c r="A29" s="6" t="s">
        <v>53</v>
      </c>
      <c r="B29" s="7">
        <v>4.6171828171828171</v>
      </c>
      <c r="C29" s="7">
        <v>331.23553846153845</v>
      </c>
      <c r="D29" s="8">
        <v>48.966219929173299</v>
      </c>
      <c r="E29" s="8">
        <v>25.710526315789473</v>
      </c>
      <c r="F29" s="6">
        <v>0.9</v>
      </c>
      <c r="G29" s="9">
        <f>$G28</f>
        <v>42.164888888888889</v>
      </c>
      <c r="H29" s="9">
        <f t="shared" si="14"/>
        <v>1.2555441007480335</v>
      </c>
      <c r="I29" s="6">
        <v>11</v>
      </c>
      <c r="J29" s="6">
        <v>0.85</v>
      </c>
      <c r="K29" s="6">
        <v>5000</v>
      </c>
      <c r="L29" s="6">
        <v>1300</v>
      </c>
      <c r="M29" s="6">
        <v>44.7</v>
      </c>
      <c r="N29" s="9">
        <f>$N28</f>
        <v>1.865</v>
      </c>
      <c r="O29" s="9">
        <f t="shared" si="11"/>
        <v>83.365500000000011</v>
      </c>
      <c r="P29" s="10">
        <f t="shared" si="15"/>
        <v>6306.2555969389859</v>
      </c>
      <c r="Q29" s="9">
        <f t="shared" si="12"/>
        <v>24.708668787801127</v>
      </c>
      <c r="R29" s="11">
        <f t="shared" si="13"/>
        <v>3.5258413473901108E-2</v>
      </c>
    </row>
    <row r="30" spans="1:18" ht="14.25" customHeight="1">
      <c r="D30" s="19"/>
      <c r="F30" s="19"/>
      <c r="P30" s="16" t="s">
        <v>59</v>
      </c>
      <c r="Q30" s="17">
        <f>AVERAGE(Q25:Q29)</f>
        <v>24.597564094719878</v>
      </c>
      <c r="R30" s="18">
        <f>AVERAGE(R25:R29)</f>
        <v>3.5099870929938416E-2</v>
      </c>
    </row>
    <row r="31" spans="1:18" ht="14.25" customHeight="1">
      <c r="A31" s="12"/>
      <c r="D31" s="19"/>
      <c r="E31" s="19"/>
    </row>
    <row r="32" spans="1:18" ht="14.25" customHeight="1">
      <c r="A32" s="22" t="s">
        <v>103</v>
      </c>
    </row>
    <row r="33" spans="1:18" ht="41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82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8" ht="14.25" customHeight="1">
      <c r="A34" s="6" t="s">
        <v>52</v>
      </c>
      <c r="B34" s="7">
        <v>6.9750705843153762</v>
      </c>
      <c r="C34" s="7">
        <v>304.41106249999996</v>
      </c>
      <c r="D34" s="8">
        <v>42.991610970668653</v>
      </c>
      <c r="E34" s="8">
        <v>27.800995024875622</v>
      </c>
      <c r="F34" s="6">
        <v>0.9</v>
      </c>
      <c r="G34" s="9">
        <f>'Summary N2O from residue'!H12*1000</f>
        <v>52.369333333333337</v>
      </c>
      <c r="H34" s="9">
        <f>D34*100/(3000*L34/1000)</f>
        <v>1.1023489992479141</v>
      </c>
      <c r="I34" s="6">
        <v>11</v>
      </c>
      <c r="J34" s="6">
        <v>0.85</v>
      </c>
      <c r="K34" s="6">
        <v>5000</v>
      </c>
      <c r="L34" s="6">
        <v>1300</v>
      </c>
      <c r="M34" s="6">
        <v>44.7</v>
      </c>
      <c r="N34" s="9">
        <f>N25</f>
        <v>1.865</v>
      </c>
      <c r="O34" s="9">
        <f t="shared" ref="O34:O38" si="16">M34*N34</f>
        <v>83.365500000000011</v>
      </c>
      <c r="P34" s="10">
        <f>((H34/100)*K34*L34)/I34*J34</f>
        <v>5536.7983825861138</v>
      </c>
      <c r="Q34" s="9">
        <f t="shared" ref="Q34:Q38" si="17">(21.37+(C34/(E34*F34))*((0.0037*G34)+(0.0000601*P34)-(0.00362*O34)))</f>
        <v>24.104309251457437</v>
      </c>
      <c r="R34" s="11">
        <f t="shared" ref="R34:R38" si="18">(44/28)*0.0075*(14/62)*Q34/N34</f>
        <v>3.4396013374474413E-2</v>
      </c>
    </row>
    <row r="35" spans="1:18" ht="14.25" customHeight="1">
      <c r="A35" s="6" t="s">
        <v>55</v>
      </c>
      <c r="B35" s="7">
        <v>5.8812183713381305</v>
      </c>
      <c r="C35" s="7">
        <v>428.44020359281427</v>
      </c>
      <c r="D35" s="8">
        <v>58.043681956095014</v>
      </c>
      <c r="E35" s="8">
        <v>31.024725274725274</v>
      </c>
      <c r="F35" s="6">
        <v>0.9</v>
      </c>
      <c r="G35" s="9">
        <f>$G34</f>
        <v>52.369333333333337</v>
      </c>
      <c r="H35" s="9">
        <f t="shared" ref="H35:H38" si="19">D35*100/(3000*L35/1000)</f>
        <v>1.4882995373357697</v>
      </c>
      <c r="I35" s="6">
        <v>11</v>
      </c>
      <c r="J35" s="6">
        <v>0.85</v>
      </c>
      <c r="K35" s="6">
        <v>5000</v>
      </c>
      <c r="L35" s="6">
        <v>1300</v>
      </c>
      <c r="M35" s="6">
        <v>44.7</v>
      </c>
      <c r="N35" s="9">
        <f>$N34</f>
        <v>1.865</v>
      </c>
      <c r="O35" s="9">
        <f t="shared" si="16"/>
        <v>83.365500000000011</v>
      </c>
      <c r="P35" s="10">
        <f t="shared" ref="P35:P38" si="20">((H35/100)*K35*L35)/I35*J35</f>
        <v>7475.3226761637525</v>
      </c>
      <c r="Q35" s="9">
        <f t="shared" si="17"/>
        <v>26.606158996902714</v>
      </c>
      <c r="R35" s="11">
        <f t="shared" si="18"/>
        <v>3.7966066198122865E-2</v>
      </c>
    </row>
    <row r="36" spans="1:18" ht="14.25" customHeight="1">
      <c r="A36" s="6" t="s">
        <v>51</v>
      </c>
      <c r="B36" s="7">
        <v>6.0821346177827662</v>
      </c>
      <c r="C36" s="7">
        <v>283.9155555555555</v>
      </c>
      <c r="D36" s="8">
        <v>48.008079217765967</v>
      </c>
      <c r="E36" s="8">
        <v>24.002857142857142</v>
      </c>
      <c r="F36" s="6">
        <v>0.9</v>
      </c>
      <c r="G36" s="9">
        <f>$G35</f>
        <v>52.369333333333337</v>
      </c>
      <c r="H36" s="9">
        <f t="shared" si="19"/>
        <v>1.2309763901991275</v>
      </c>
      <c r="I36" s="6">
        <v>11</v>
      </c>
      <c r="J36" s="6">
        <v>0.85</v>
      </c>
      <c r="K36" s="6">
        <v>5000</v>
      </c>
      <c r="L36" s="6">
        <v>1300</v>
      </c>
      <c r="M36" s="6">
        <v>44.7</v>
      </c>
      <c r="N36" s="9">
        <f>$N35</f>
        <v>1.865</v>
      </c>
      <c r="O36" s="9">
        <f t="shared" si="16"/>
        <v>83.365500000000011</v>
      </c>
      <c r="P36" s="10">
        <f t="shared" si="20"/>
        <v>6182.8586871365269</v>
      </c>
      <c r="Q36" s="9">
        <f t="shared" si="17"/>
        <v>24.834057063512383</v>
      </c>
      <c r="R36" s="11">
        <f t="shared" si="18"/>
        <v>3.5437338194928149E-2</v>
      </c>
    </row>
    <row r="37" spans="1:18" ht="14.25" customHeight="1">
      <c r="A37" s="6" t="s">
        <v>54</v>
      </c>
      <c r="B37" s="7">
        <v>5.2317200422039125</v>
      </c>
      <c r="C37" s="7">
        <v>325.95457142857134</v>
      </c>
      <c r="D37" s="8">
        <v>43.478177233770509</v>
      </c>
      <c r="E37" s="8">
        <v>23.826530612244898</v>
      </c>
      <c r="F37" s="6">
        <v>0.9</v>
      </c>
      <c r="G37" s="9">
        <f>$G36</f>
        <v>52.369333333333337</v>
      </c>
      <c r="H37" s="9">
        <f t="shared" si="19"/>
        <v>1.1148250572761669</v>
      </c>
      <c r="I37" s="6">
        <v>11</v>
      </c>
      <c r="J37" s="6">
        <v>0.85</v>
      </c>
      <c r="K37" s="6">
        <v>5000</v>
      </c>
      <c r="L37" s="6">
        <v>1300</v>
      </c>
      <c r="M37" s="6">
        <v>44.7</v>
      </c>
      <c r="N37" s="9">
        <f>$N36</f>
        <v>1.865</v>
      </c>
      <c r="O37" s="9">
        <f t="shared" si="16"/>
        <v>83.365500000000011</v>
      </c>
      <c r="P37" s="10">
        <f t="shared" si="20"/>
        <v>5599.4622195007469</v>
      </c>
      <c r="Q37" s="9">
        <f t="shared" si="17"/>
        <v>24.84345009680678</v>
      </c>
      <c r="R37" s="11">
        <f t="shared" si="18"/>
        <v>3.5450741727692796E-2</v>
      </c>
    </row>
    <row r="38" spans="1:18" ht="14.25" customHeight="1">
      <c r="A38" s="6" t="s">
        <v>53</v>
      </c>
      <c r="B38" s="7">
        <v>4.6171828171828171</v>
      </c>
      <c r="C38" s="7">
        <v>331.23553846153845</v>
      </c>
      <c r="D38" s="8">
        <v>48.966219929173299</v>
      </c>
      <c r="E38" s="8">
        <v>25.710526315789473</v>
      </c>
      <c r="F38" s="6">
        <v>0.9</v>
      </c>
      <c r="G38" s="9">
        <f>$G37</f>
        <v>52.369333333333337</v>
      </c>
      <c r="H38" s="9">
        <f t="shared" si="19"/>
        <v>1.2555441007480335</v>
      </c>
      <c r="I38" s="6">
        <v>11</v>
      </c>
      <c r="J38" s="6">
        <v>0.85</v>
      </c>
      <c r="K38" s="6">
        <v>5000</v>
      </c>
      <c r="L38" s="6">
        <v>1300</v>
      </c>
      <c r="M38" s="6">
        <v>44.7</v>
      </c>
      <c r="N38" s="9">
        <f>$N37</f>
        <v>1.865</v>
      </c>
      <c r="O38" s="9">
        <f t="shared" si="16"/>
        <v>83.365500000000011</v>
      </c>
      <c r="P38" s="10">
        <f t="shared" si="20"/>
        <v>6306.2555969389859</v>
      </c>
      <c r="Q38" s="9">
        <f t="shared" si="17"/>
        <v>25.249142455293509</v>
      </c>
      <c r="R38" s="11">
        <f t="shared" si="18"/>
        <v>3.6029650654012181E-2</v>
      </c>
    </row>
    <row r="39" spans="1:18" ht="14.25" customHeight="1">
      <c r="D39" s="19"/>
      <c r="F39" s="19"/>
      <c r="P39" s="16" t="s">
        <v>59</v>
      </c>
      <c r="Q39" s="17">
        <f>AVERAGE(Q34:Q38)</f>
        <v>25.127423572794562</v>
      </c>
      <c r="R39" s="18">
        <f>AVERAGE(R34:R38)</f>
        <v>3.5855962029846075E-2</v>
      </c>
    </row>
    <row r="40" spans="1:18" ht="14.25" customHeight="1">
      <c r="A40" s="12"/>
      <c r="D40" s="19"/>
      <c r="E40" s="19"/>
    </row>
    <row r="41" spans="1:18" ht="14.25" customHeight="1">
      <c r="A41" s="22" t="s">
        <v>109</v>
      </c>
    </row>
    <row r="42" spans="1:18" ht="41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82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8" ht="14.25" customHeight="1">
      <c r="A43" s="6" t="s">
        <v>52</v>
      </c>
      <c r="B43" s="7">
        <v>6.9750705843153762</v>
      </c>
      <c r="C43" s="7">
        <v>304.41106249999996</v>
      </c>
      <c r="D43" s="8">
        <v>42.991610970668653</v>
      </c>
      <c r="E43" s="8">
        <v>27.800995024875622</v>
      </c>
      <c r="F43" s="6">
        <v>0.9</v>
      </c>
      <c r="G43" s="9">
        <f>'Summary N2O from residue'!H13*1000</f>
        <v>53.716444444444434</v>
      </c>
      <c r="H43" s="9">
        <f>D43*100/(3000*L43/1000)</f>
        <v>1.1023489992479141</v>
      </c>
      <c r="I43" s="6">
        <v>11</v>
      </c>
      <c r="J43" s="6">
        <v>0.85</v>
      </c>
      <c r="K43" s="6">
        <v>5000</v>
      </c>
      <c r="L43" s="6">
        <v>1300</v>
      </c>
      <c r="M43" s="6">
        <v>44.7</v>
      </c>
      <c r="N43" s="9">
        <f>N34</f>
        <v>1.865</v>
      </c>
      <c r="O43" s="9">
        <f t="shared" ref="O43:O47" si="21">M43*N43</f>
        <v>83.365500000000011</v>
      </c>
      <c r="P43" s="10">
        <f>((H43/100)*K43*L43)/I43*J43</f>
        <v>5536.7983825861138</v>
      </c>
      <c r="Q43" s="9">
        <f t="shared" ref="Q43:Q47" si="22">(21.37+(C43/(E43*F43))*((0.0037*G43)+(0.0000601*P43)-(0.00362*O43)))</f>
        <v>24.164949744512782</v>
      </c>
      <c r="R43" s="11">
        <f t="shared" ref="R43:R47" si="23">(44/28)*0.0075*(14/62)*Q43/N43</f>
        <v>3.4482545255077476E-2</v>
      </c>
    </row>
    <row r="44" spans="1:18" ht="14.25" customHeight="1">
      <c r="A44" s="6" t="s">
        <v>55</v>
      </c>
      <c r="B44" s="7">
        <v>5.8812183713381305</v>
      </c>
      <c r="C44" s="7">
        <v>428.44020359281427</v>
      </c>
      <c r="D44" s="8">
        <v>58.043681956095014</v>
      </c>
      <c r="E44" s="8">
        <v>31.024725274725274</v>
      </c>
      <c r="F44" s="6">
        <v>0.9</v>
      </c>
      <c r="G44" s="9">
        <f>$G43</f>
        <v>53.716444444444434</v>
      </c>
      <c r="H44" s="9">
        <f t="shared" ref="H44:H47" si="24">D44*100/(3000*L44/1000)</f>
        <v>1.4882995373357697</v>
      </c>
      <c r="I44" s="6">
        <v>11</v>
      </c>
      <c r="J44" s="6">
        <v>0.85</v>
      </c>
      <c r="K44" s="6">
        <v>5000</v>
      </c>
      <c r="L44" s="6">
        <v>1300</v>
      </c>
      <c r="M44" s="6">
        <v>44.7</v>
      </c>
      <c r="N44" s="9">
        <f>$N43</f>
        <v>1.865</v>
      </c>
      <c r="O44" s="9">
        <f t="shared" si="21"/>
        <v>83.365500000000011</v>
      </c>
      <c r="P44" s="10">
        <f t="shared" ref="P44:P47" si="25">((H44/100)*K44*L44)/I44*J44</f>
        <v>7475.3226761637525</v>
      </c>
      <c r="Q44" s="9">
        <f t="shared" si="22"/>
        <v>26.682638473202292</v>
      </c>
      <c r="R44" s="11">
        <f t="shared" si="23"/>
        <v>3.8075199758526142E-2</v>
      </c>
    </row>
    <row r="45" spans="1:18" ht="14.25" customHeight="1">
      <c r="A45" s="6" t="s">
        <v>51</v>
      </c>
      <c r="B45" s="7">
        <v>6.0821346177827662</v>
      </c>
      <c r="C45" s="7">
        <v>283.9155555555555</v>
      </c>
      <c r="D45" s="8">
        <v>48.008079217765967</v>
      </c>
      <c r="E45" s="8">
        <v>24.002857142857142</v>
      </c>
      <c r="F45" s="6">
        <v>0.9</v>
      </c>
      <c r="G45" s="9">
        <f>$G44</f>
        <v>53.716444444444434</v>
      </c>
      <c r="H45" s="9">
        <f t="shared" si="24"/>
        <v>1.2309763901991275</v>
      </c>
      <c r="I45" s="6">
        <v>11</v>
      </c>
      <c r="J45" s="6">
        <v>0.85</v>
      </c>
      <c r="K45" s="6">
        <v>5000</v>
      </c>
      <c r="L45" s="6">
        <v>1300</v>
      </c>
      <c r="M45" s="6">
        <v>44.7</v>
      </c>
      <c r="N45" s="9">
        <f>$N44</f>
        <v>1.865</v>
      </c>
      <c r="O45" s="9">
        <f t="shared" si="21"/>
        <v>83.365500000000011</v>
      </c>
      <c r="P45" s="10">
        <f t="shared" si="25"/>
        <v>6182.8586871365269</v>
      </c>
      <c r="Q45" s="9">
        <f t="shared" si="22"/>
        <v>24.899564239954405</v>
      </c>
      <c r="R45" s="11">
        <f t="shared" si="23"/>
        <v>3.5530814663949459E-2</v>
      </c>
    </row>
    <row r="46" spans="1:18" ht="14.25" customHeight="1">
      <c r="A46" s="6" t="s">
        <v>54</v>
      </c>
      <c r="B46" s="7">
        <v>5.2317200422039125</v>
      </c>
      <c r="C46" s="7">
        <v>325.95457142857134</v>
      </c>
      <c r="D46" s="8">
        <v>43.478177233770509</v>
      </c>
      <c r="E46" s="8">
        <v>23.826530612244898</v>
      </c>
      <c r="F46" s="6">
        <v>0.9</v>
      </c>
      <c r="G46" s="9">
        <f>$G45</f>
        <v>53.716444444444434</v>
      </c>
      <c r="H46" s="9">
        <f t="shared" si="24"/>
        <v>1.1148250572761669</v>
      </c>
      <c r="I46" s="6">
        <v>11</v>
      </c>
      <c r="J46" s="6">
        <v>0.85</v>
      </c>
      <c r="K46" s="6">
        <v>5000</v>
      </c>
      <c r="L46" s="6">
        <v>1300</v>
      </c>
      <c r="M46" s="6">
        <v>44.7</v>
      </c>
      <c r="N46" s="9">
        <f>$N45</f>
        <v>1.865</v>
      </c>
      <c r="O46" s="9">
        <f t="shared" si="21"/>
        <v>83.365500000000011</v>
      </c>
      <c r="P46" s="10">
        <f t="shared" si="25"/>
        <v>5599.4622195007469</v>
      </c>
      <c r="Q46" s="9">
        <f t="shared" si="22"/>
        <v>24.919213399792604</v>
      </c>
      <c r="R46" s="11">
        <f t="shared" si="23"/>
        <v>3.555885333361393E-2</v>
      </c>
    </row>
    <row r="47" spans="1:18" ht="14.25" customHeight="1">
      <c r="A47" s="6" t="s">
        <v>53</v>
      </c>
      <c r="B47" s="7">
        <v>4.6171828171828171</v>
      </c>
      <c r="C47" s="7">
        <v>331.23553846153845</v>
      </c>
      <c r="D47" s="8">
        <v>48.966219929173299</v>
      </c>
      <c r="E47" s="8">
        <v>25.710526315789473</v>
      </c>
      <c r="F47" s="6">
        <v>0.9</v>
      </c>
      <c r="G47" s="9">
        <f>$G46</f>
        <v>53.716444444444434</v>
      </c>
      <c r="H47" s="9">
        <f t="shared" si="24"/>
        <v>1.2555441007480335</v>
      </c>
      <c r="I47" s="6">
        <v>11</v>
      </c>
      <c r="J47" s="6">
        <v>0.85</v>
      </c>
      <c r="K47" s="6">
        <v>5000</v>
      </c>
      <c r="L47" s="6">
        <v>1300</v>
      </c>
      <c r="M47" s="6">
        <v>44.7</v>
      </c>
      <c r="N47" s="9">
        <f>$N46</f>
        <v>1.865</v>
      </c>
      <c r="O47" s="9">
        <f t="shared" si="21"/>
        <v>83.365500000000011</v>
      </c>
      <c r="P47" s="10">
        <f t="shared" si="25"/>
        <v>6306.2555969389859</v>
      </c>
      <c r="Q47" s="9">
        <f t="shared" si="22"/>
        <v>25.320491570544789</v>
      </c>
      <c r="R47" s="11">
        <f t="shared" si="23"/>
        <v>3.6131463367118304E-2</v>
      </c>
    </row>
    <row r="48" spans="1:18" ht="14.25" customHeight="1">
      <c r="D48" s="19"/>
      <c r="F48" s="19"/>
      <c r="P48" s="16" t="s">
        <v>59</v>
      </c>
      <c r="Q48" s="17">
        <f>AVERAGE(Q43:Q47)</f>
        <v>25.197371485601373</v>
      </c>
      <c r="R48" s="18">
        <f>AVERAGE(R43:R47)</f>
        <v>3.5955775275657062E-2</v>
      </c>
    </row>
    <row r="49" spans="1:18" ht="14.25" customHeight="1">
      <c r="A49" s="12"/>
      <c r="D49" s="19"/>
      <c r="E49" s="19"/>
    </row>
    <row r="50" spans="1:18" ht="14.25" customHeight="1">
      <c r="A50" s="22" t="s">
        <v>108</v>
      </c>
    </row>
    <row r="51" spans="1:18" ht="41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82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8" ht="14.25" customHeight="1">
      <c r="A52" s="6" t="s">
        <v>52</v>
      </c>
      <c r="B52" s="7">
        <v>6.9750705843153762</v>
      </c>
      <c r="C52" s="7">
        <v>304.41106249999996</v>
      </c>
      <c r="D52" s="8">
        <v>42.991610970668653</v>
      </c>
      <c r="E52" s="8">
        <v>27.800995024875622</v>
      </c>
      <c r="F52" s="6">
        <v>0.9</v>
      </c>
      <c r="G52" s="9">
        <f>'Summary N2O from residue'!H14*1000</f>
        <v>63.920888888888889</v>
      </c>
      <c r="H52" s="9">
        <f>D52*100/(3000*L52/1000)</f>
        <v>1.1023489992479141</v>
      </c>
      <c r="I52" s="6">
        <v>11</v>
      </c>
      <c r="J52" s="6">
        <v>0.85</v>
      </c>
      <c r="K52" s="6">
        <v>5000</v>
      </c>
      <c r="L52" s="6">
        <v>1300</v>
      </c>
      <c r="M52" s="6">
        <v>44.7</v>
      </c>
      <c r="N52" s="9">
        <f>N43</f>
        <v>1.865</v>
      </c>
      <c r="O52" s="9">
        <f t="shared" ref="O52:O56" si="26">M52*N52</f>
        <v>83.365500000000011</v>
      </c>
      <c r="P52" s="10">
        <f>((H52/100)*K52*L52)/I52*J52</f>
        <v>5536.7983825861138</v>
      </c>
      <c r="Q52" s="9">
        <f t="shared" ref="Q52:Q56" si="27">(21.37+(C52/(E52*F52))*((0.0037*G52)+(0.0000601*P52)-(0.00362*O52)))</f>
        <v>24.624304980590225</v>
      </c>
      <c r="R52" s="11">
        <f t="shared" ref="R52:R56" si="28">(44/28)*0.0075*(14/62)*Q52/N52</f>
        <v>3.5138029246712672E-2</v>
      </c>
    </row>
    <row r="53" spans="1:18" ht="14.25" customHeight="1">
      <c r="A53" s="6" t="s">
        <v>55</v>
      </c>
      <c r="B53" s="7">
        <v>5.8812183713381305</v>
      </c>
      <c r="C53" s="7">
        <v>428.44020359281427</v>
      </c>
      <c r="D53" s="8">
        <v>58.043681956095014</v>
      </c>
      <c r="E53" s="8">
        <v>31.024725274725274</v>
      </c>
      <c r="F53" s="6">
        <v>0.9</v>
      </c>
      <c r="G53" s="9">
        <f>$G52</f>
        <v>63.920888888888889</v>
      </c>
      <c r="H53" s="9">
        <f t="shared" ref="H53:H56" si="29">D53*100/(3000*L53/1000)</f>
        <v>1.4882995373357697</v>
      </c>
      <c r="I53" s="6">
        <v>11</v>
      </c>
      <c r="J53" s="6">
        <v>0.85</v>
      </c>
      <c r="K53" s="6">
        <v>5000</v>
      </c>
      <c r="L53" s="6">
        <v>1300</v>
      </c>
      <c r="M53" s="6">
        <v>44.7</v>
      </c>
      <c r="N53" s="9">
        <f>$N52</f>
        <v>1.865</v>
      </c>
      <c r="O53" s="9">
        <f t="shared" si="26"/>
        <v>83.365500000000011</v>
      </c>
      <c r="P53" s="10">
        <f t="shared" ref="P53:P56" si="30">((H53/100)*K53*L53)/I53*J53</f>
        <v>7475.3226761637525</v>
      </c>
      <c r="Q53" s="9">
        <f t="shared" si="27"/>
        <v>27.261974921845756</v>
      </c>
      <c r="R53" s="11">
        <f t="shared" si="28"/>
        <v>3.890189277959482E-2</v>
      </c>
    </row>
    <row r="54" spans="1:18" ht="14.25" customHeight="1">
      <c r="A54" s="6" t="s">
        <v>51</v>
      </c>
      <c r="B54" s="7">
        <v>6.0821346177827662</v>
      </c>
      <c r="C54" s="7">
        <v>283.9155555555555</v>
      </c>
      <c r="D54" s="8">
        <v>48.008079217765967</v>
      </c>
      <c r="E54" s="8">
        <v>24.002857142857142</v>
      </c>
      <c r="F54" s="6">
        <v>0.9</v>
      </c>
      <c r="G54" s="9">
        <f>$G53</f>
        <v>63.920888888888889</v>
      </c>
      <c r="H54" s="9">
        <f t="shared" si="29"/>
        <v>1.2309763901991275</v>
      </c>
      <c r="I54" s="6">
        <v>11</v>
      </c>
      <c r="J54" s="6">
        <v>0.85</v>
      </c>
      <c r="K54" s="6">
        <v>5000</v>
      </c>
      <c r="L54" s="6">
        <v>1300</v>
      </c>
      <c r="M54" s="6">
        <v>44.7</v>
      </c>
      <c r="N54" s="9">
        <f>$N53</f>
        <v>1.865</v>
      </c>
      <c r="O54" s="9">
        <f t="shared" si="26"/>
        <v>83.365500000000011</v>
      </c>
      <c r="P54" s="10">
        <f t="shared" si="30"/>
        <v>6182.8586871365269</v>
      </c>
      <c r="Q54" s="9">
        <f t="shared" si="27"/>
        <v>25.395784883672274</v>
      </c>
      <c r="R54" s="11">
        <f t="shared" si="28"/>
        <v>3.623890431381064E-2</v>
      </c>
    </row>
    <row r="55" spans="1:18" ht="14.25" customHeight="1">
      <c r="A55" s="6" t="s">
        <v>54</v>
      </c>
      <c r="B55" s="7">
        <v>5.2317200422039125</v>
      </c>
      <c r="C55" s="7">
        <v>325.95457142857134</v>
      </c>
      <c r="D55" s="8">
        <v>43.478177233770509</v>
      </c>
      <c r="E55" s="8">
        <v>23.826530612244898</v>
      </c>
      <c r="F55" s="6">
        <v>0.9</v>
      </c>
      <c r="G55" s="9">
        <f>$G54</f>
        <v>63.920888888888889</v>
      </c>
      <c r="H55" s="9">
        <f t="shared" si="29"/>
        <v>1.1148250572761669</v>
      </c>
      <c r="I55" s="6">
        <v>11</v>
      </c>
      <c r="J55" s="6">
        <v>0.85</v>
      </c>
      <c r="K55" s="6">
        <v>5000</v>
      </c>
      <c r="L55" s="6">
        <v>1300</v>
      </c>
      <c r="M55" s="6">
        <v>44.7</v>
      </c>
      <c r="N55" s="9">
        <f>$N54</f>
        <v>1.865</v>
      </c>
      <c r="O55" s="9">
        <f t="shared" si="26"/>
        <v>83.365500000000011</v>
      </c>
      <c r="P55" s="10">
        <f t="shared" si="30"/>
        <v>5599.4622195007469</v>
      </c>
      <c r="Q55" s="9">
        <f t="shared" si="27"/>
        <v>25.49312479423488</v>
      </c>
      <c r="R55" s="11">
        <f t="shared" si="28"/>
        <v>3.6377804990476124E-2</v>
      </c>
    </row>
    <row r="56" spans="1:18" ht="14.25" customHeight="1">
      <c r="A56" s="6" t="s">
        <v>53</v>
      </c>
      <c r="B56" s="7">
        <v>4.6171828171828171</v>
      </c>
      <c r="C56" s="7">
        <v>331.23553846153845</v>
      </c>
      <c r="D56" s="8">
        <v>48.966219929173299</v>
      </c>
      <c r="E56" s="8">
        <v>25.710526315789473</v>
      </c>
      <c r="F56" s="6">
        <v>0.9</v>
      </c>
      <c r="G56" s="9">
        <f>$G55</f>
        <v>63.920888888888889</v>
      </c>
      <c r="H56" s="9">
        <f t="shared" si="29"/>
        <v>1.2555441007480335</v>
      </c>
      <c r="I56" s="6">
        <v>11</v>
      </c>
      <c r="J56" s="6">
        <v>0.85</v>
      </c>
      <c r="K56" s="6">
        <v>5000</v>
      </c>
      <c r="L56" s="6">
        <v>1300</v>
      </c>
      <c r="M56" s="6">
        <v>44.7</v>
      </c>
      <c r="N56" s="9">
        <f>$N55</f>
        <v>1.865</v>
      </c>
      <c r="O56" s="9">
        <f t="shared" si="26"/>
        <v>83.365500000000011</v>
      </c>
      <c r="P56" s="10">
        <f t="shared" si="30"/>
        <v>6306.2555969389859</v>
      </c>
      <c r="Q56" s="9">
        <f t="shared" si="27"/>
        <v>25.860965238037171</v>
      </c>
      <c r="R56" s="11">
        <f t="shared" si="28"/>
        <v>3.690270054722937E-2</v>
      </c>
    </row>
    <row r="57" spans="1:18" ht="14.25" customHeight="1">
      <c r="D57" s="19"/>
      <c r="F57" s="19"/>
      <c r="P57" s="16" t="s">
        <v>59</v>
      </c>
      <c r="Q57" s="17">
        <f>AVERAGE(Q52:Q56)</f>
        <v>25.72723096367606</v>
      </c>
      <c r="R57" s="18">
        <f>AVERAGE(R52:R56)</f>
        <v>3.6711866375564728E-2</v>
      </c>
    </row>
    <row r="58" spans="1:18" ht="14.25" customHeight="1">
      <c r="A58" s="12"/>
      <c r="D58" s="19"/>
      <c r="E58" s="19"/>
    </row>
    <row r="59" spans="1:18" ht="14.25" customHeight="1">
      <c r="A59" s="22" t="s">
        <v>107</v>
      </c>
    </row>
    <row r="60" spans="1:18" ht="41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82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4.25" customHeight="1">
      <c r="A61" s="6" t="s">
        <v>52</v>
      </c>
      <c r="B61" s="7">
        <v>6.9750705843153762</v>
      </c>
      <c r="C61" s="7">
        <v>304.41106249999996</v>
      </c>
      <c r="D61" s="8">
        <v>42.991610970668653</v>
      </c>
      <c r="E61" s="8">
        <v>27.800995024875622</v>
      </c>
      <c r="F61" s="6">
        <v>0.9</v>
      </c>
      <c r="G61" s="9">
        <f>'Summary N2O from residue'!H15*1000</f>
        <v>74.12533333333333</v>
      </c>
      <c r="H61" s="9">
        <f>D61*100/(3000*L61/1000)</f>
        <v>1.1023489992479141</v>
      </c>
      <c r="I61" s="6">
        <v>11</v>
      </c>
      <c r="J61" s="6">
        <v>0.85</v>
      </c>
      <c r="K61" s="6">
        <v>5000</v>
      </c>
      <c r="L61" s="6">
        <v>1300</v>
      </c>
      <c r="M61" s="6">
        <v>44.7</v>
      </c>
      <c r="N61" s="9">
        <f>N52</f>
        <v>1.865</v>
      </c>
      <c r="O61" s="9">
        <f t="shared" ref="O61:O65" si="31">M61*N61</f>
        <v>83.365500000000011</v>
      </c>
      <c r="P61" s="10">
        <f>((H61/100)*K61*L61)/I61*J61</f>
        <v>5536.7983825861138</v>
      </c>
      <c r="Q61" s="9">
        <f t="shared" ref="Q61:Q65" si="32">(21.37+(C61/(E61*F61))*((0.0037*G61)+(0.0000601*P61)-(0.00362*O61)))</f>
        <v>25.083660216667663</v>
      </c>
      <c r="R61" s="11">
        <f t="shared" ref="R61:R65" si="33">(44/28)*0.0075*(14/62)*Q61/N61</f>
        <v>3.5793513238347861E-2</v>
      </c>
    </row>
    <row r="62" spans="1:18" ht="14.25" customHeight="1">
      <c r="A62" s="6" t="s">
        <v>55</v>
      </c>
      <c r="B62" s="7">
        <v>5.8812183713381305</v>
      </c>
      <c r="C62" s="7">
        <v>428.44020359281427</v>
      </c>
      <c r="D62" s="8">
        <v>58.043681956095014</v>
      </c>
      <c r="E62" s="8">
        <v>31.024725274725274</v>
      </c>
      <c r="F62" s="6">
        <v>0.9</v>
      </c>
      <c r="G62" s="9">
        <f>$G61</f>
        <v>74.12533333333333</v>
      </c>
      <c r="H62" s="9">
        <f t="shared" ref="H62:H65" si="34">D62*100/(3000*L62/1000)</f>
        <v>1.4882995373357697</v>
      </c>
      <c r="I62" s="6">
        <v>11</v>
      </c>
      <c r="J62" s="6">
        <v>0.85</v>
      </c>
      <c r="K62" s="6">
        <v>5000</v>
      </c>
      <c r="L62" s="6">
        <v>1300</v>
      </c>
      <c r="M62" s="6">
        <v>44.7</v>
      </c>
      <c r="N62" s="9">
        <f>$N61</f>
        <v>1.865</v>
      </c>
      <c r="O62" s="9">
        <f t="shared" si="31"/>
        <v>83.365500000000011</v>
      </c>
      <c r="P62" s="10">
        <f t="shared" ref="P62:P65" si="35">((H62/100)*K62*L62)/I62*J62</f>
        <v>7475.3226761637525</v>
      </c>
      <c r="Q62" s="9">
        <f t="shared" si="32"/>
        <v>27.841311370489219</v>
      </c>
      <c r="R62" s="11">
        <f t="shared" si="33"/>
        <v>3.9728585800663498E-2</v>
      </c>
    </row>
    <row r="63" spans="1:18" ht="14.25" customHeight="1">
      <c r="A63" s="6" t="s">
        <v>51</v>
      </c>
      <c r="B63" s="7">
        <v>6.0821346177827662</v>
      </c>
      <c r="C63" s="7">
        <v>283.9155555555555</v>
      </c>
      <c r="D63" s="8">
        <v>48.008079217765967</v>
      </c>
      <c r="E63" s="8">
        <v>24.002857142857142</v>
      </c>
      <c r="F63" s="6">
        <v>0.9</v>
      </c>
      <c r="G63" s="9">
        <f>$G62</f>
        <v>74.12533333333333</v>
      </c>
      <c r="H63" s="9">
        <f t="shared" si="34"/>
        <v>1.2309763901991275</v>
      </c>
      <c r="I63" s="6">
        <v>11</v>
      </c>
      <c r="J63" s="6">
        <v>0.85</v>
      </c>
      <c r="K63" s="6">
        <v>5000</v>
      </c>
      <c r="L63" s="6">
        <v>1300</v>
      </c>
      <c r="M63" s="6">
        <v>44.7</v>
      </c>
      <c r="N63" s="9">
        <f>$N62</f>
        <v>1.865</v>
      </c>
      <c r="O63" s="9">
        <f t="shared" si="31"/>
        <v>83.365500000000011</v>
      </c>
      <c r="P63" s="10">
        <f t="shared" si="35"/>
        <v>6182.8586871365269</v>
      </c>
      <c r="Q63" s="9">
        <f t="shared" si="32"/>
        <v>25.89200552739014</v>
      </c>
      <c r="R63" s="11">
        <f t="shared" si="33"/>
        <v>3.694699396367182E-2</v>
      </c>
    </row>
    <row r="64" spans="1:18" ht="14.25" customHeight="1">
      <c r="A64" s="6" t="s">
        <v>54</v>
      </c>
      <c r="B64" s="7">
        <v>5.2317200422039125</v>
      </c>
      <c r="C64" s="7">
        <v>325.95457142857134</v>
      </c>
      <c r="D64" s="8">
        <v>43.478177233770509</v>
      </c>
      <c r="E64" s="8">
        <v>23.826530612244898</v>
      </c>
      <c r="F64" s="6">
        <v>0.9</v>
      </c>
      <c r="G64" s="9">
        <f>$G63</f>
        <v>74.12533333333333</v>
      </c>
      <c r="H64" s="9">
        <f t="shared" si="34"/>
        <v>1.1148250572761669</v>
      </c>
      <c r="I64" s="6">
        <v>11</v>
      </c>
      <c r="J64" s="6">
        <v>0.85</v>
      </c>
      <c r="K64" s="6">
        <v>5000</v>
      </c>
      <c r="L64" s="6">
        <v>1300</v>
      </c>
      <c r="M64" s="6">
        <v>44.7</v>
      </c>
      <c r="N64" s="9">
        <f>$N63</f>
        <v>1.865</v>
      </c>
      <c r="O64" s="9">
        <f t="shared" si="31"/>
        <v>83.365500000000011</v>
      </c>
      <c r="P64" s="10">
        <f t="shared" si="35"/>
        <v>5599.4622195007469</v>
      </c>
      <c r="Q64" s="9">
        <f t="shared" si="32"/>
        <v>26.067036188677161</v>
      </c>
      <c r="R64" s="11">
        <f t="shared" si="33"/>
        <v>3.7196756647338326E-2</v>
      </c>
    </row>
    <row r="65" spans="1:18" ht="14.25" customHeight="1">
      <c r="A65" s="6" t="s">
        <v>53</v>
      </c>
      <c r="B65" s="7">
        <v>4.6171828171828171</v>
      </c>
      <c r="C65" s="7">
        <v>331.23553846153845</v>
      </c>
      <c r="D65" s="8">
        <v>48.966219929173299</v>
      </c>
      <c r="E65" s="8">
        <v>25.710526315789473</v>
      </c>
      <c r="F65" s="6">
        <v>0.9</v>
      </c>
      <c r="G65" s="9">
        <f>$G64</f>
        <v>74.12533333333333</v>
      </c>
      <c r="H65" s="9">
        <f t="shared" si="34"/>
        <v>1.2555441007480335</v>
      </c>
      <c r="I65" s="6">
        <v>11</v>
      </c>
      <c r="J65" s="6">
        <v>0.85</v>
      </c>
      <c r="K65" s="6">
        <v>5000</v>
      </c>
      <c r="L65" s="6">
        <v>1300</v>
      </c>
      <c r="M65" s="6">
        <v>44.7</v>
      </c>
      <c r="N65" s="9">
        <f>$N64</f>
        <v>1.865</v>
      </c>
      <c r="O65" s="9">
        <f t="shared" si="31"/>
        <v>83.365500000000011</v>
      </c>
      <c r="P65" s="10">
        <f t="shared" si="35"/>
        <v>6306.2555969389859</v>
      </c>
      <c r="Q65" s="9">
        <f t="shared" si="32"/>
        <v>26.401438905529552</v>
      </c>
      <c r="R65" s="11">
        <f t="shared" si="33"/>
        <v>3.7673937727340442E-2</v>
      </c>
    </row>
    <row r="66" spans="1:18" ht="14.25" customHeight="1">
      <c r="D66" s="19"/>
      <c r="F66" s="19"/>
      <c r="P66" s="16" t="s">
        <v>59</v>
      </c>
      <c r="Q66" s="17">
        <f>AVERAGE(Q61:Q65)</f>
        <v>26.257090441750751</v>
      </c>
      <c r="R66" s="18">
        <f>AVERAGE(R61:R65)</f>
        <v>3.7467957475472394E-2</v>
      </c>
    </row>
    <row r="67" spans="1:18" ht="14.25" customHeight="1">
      <c r="A67" s="12"/>
      <c r="D67" s="19"/>
      <c r="E67" s="19"/>
      <c r="Q67" s="20"/>
      <c r="R67" s="20"/>
    </row>
    <row r="68" spans="1:18" ht="14.25" customHeight="1">
      <c r="A68" s="22" t="s">
        <v>106</v>
      </c>
    </row>
    <row r="69" spans="1:18" ht="41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82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4.25" customHeight="1">
      <c r="A70" s="6" t="s">
        <v>52</v>
      </c>
      <c r="B70" s="7">
        <v>6.9750705843153762</v>
      </c>
      <c r="C70" s="7">
        <v>304.41106249999996</v>
      </c>
      <c r="D70" s="8">
        <v>42.991610970668653</v>
      </c>
      <c r="E70" s="8">
        <v>27.800995024875622</v>
      </c>
      <c r="F70" s="6">
        <v>0.9</v>
      </c>
      <c r="G70" s="9">
        <f>'Summary N2O from residue'!H16*1000</f>
        <v>75.47244444444442</v>
      </c>
      <c r="H70" s="9">
        <f>D70*100/(3000*L70/1000)</f>
        <v>1.1023489992479141</v>
      </c>
      <c r="I70" s="6">
        <v>11</v>
      </c>
      <c r="J70" s="6">
        <v>0.85</v>
      </c>
      <c r="K70" s="6">
        <v>5000</v>
      </c>
      <c r="L70" s="6">
        <v>1300</v>
      </c>
      <c r="M70" s="6">
        <v>44.7</v>
      </c>
      <c r="N70" s="9">
        <f>N61</f>
        <v>1.865</v>
      </c>
      <c r="O70" s="9">
        <f t="shared" ref="O70:O74" si="36">M70*N70</f>
        <v>83.365500000000011</v>
      </c>
      <c r="P70" s="10">
        <f>((H70/100)*K70*L70)/I70*J70</f>
        <v>5536.7983825861138</v>
      </c>
      <c r="Q70" s="9">
        <f t="shared" ref="Q70:Q74" si="37">(21.37+(C70/(E70*F70))*((0.0037*G70)+(0.0000601*P70)-(0.00362*O70)))</f>
        <v>25.144300709723009</v>
      </c>
      <c r="R70" s="11">
        <f t="shared" ref="R70:R74" si="38">(44/28)*0.0075*(14/62)*Q70/N70</f>
        <v>3.5880045118950925E-2</v>
      </c>
    </row>
    <row r="71" spans="1:18" ht="14.25" customHeight="1">
      <c r="A71" s="6" t="s">
        <v>55</v>
      </c>
      <c r="B71" s="7">
        <v>5.8812183713381305</v>
      </c>
      <c r="C71" s="7">
        <v>428.44020359281427</v>
      </c>
      <c r="D71" s="8">
        <v>58.043681956095014</v>
      </c>
      <c r="E71" s="8">
        <v>31.024725274725274</v>
      </c>
      <c r="F71" s="6">
        <v>0.9</v>
      </c>
      <c r="G71" s="9">
        <f>$G70</f>
        <v>75.47244444444442</v>
      </c>
      <c r="H71" s="9">
        <f t="shared" ref="H71:H74" si="39">D71*100/(3000*L71/1000)</f>
        <v>1.4882995373357697</v>
      </c>
      <c r="I71" s="6">
        <v>11</v>
      </c>
      <c r="J71" s="6">
        <v>0.85</v>
      </c>
      <c r="K71" s="6">
        <v>5000</v>
      </c>
      <c r="L71" s="6">
        <v>1300</v>
      </c>
      <c r="M71" s="6">
        <v>44.7</v>
      </c>
      <c r="N71" s="9">
        <f>$N70</f>
        <v>1.865</v>
      </c>
      <c r="O71" s="9">
        <f t="shared" si="36"/>
        <v>83.365500000000011</v>
      </c>
      <c r="P71" s="10">
        <f t="shared" ref="P71:P74" si="40">((H71/100)*K71*L71)/I71*J71</f>
        <v>7475.3226761637525</v>
      </c>
      <c r="Q71" s="9">
        <f t="shared" si="37"/>
        <v>27.917790846788794</v>
      </c>
      <c r="R71" s="11">
        <f t="shared" si="38"/>
        <v>3.9837719361066767E-2</v>
      </c>
    </row>
    <row r="72" spans="1:18" ht="14.25" customHeight="1">
      <c r="A72" s="6" t="s">
        <v>51</v>
      </c>
      <c r="B72" s="7">
        <v>6.0821346177827662</v>
      </c>
      <c r="C72" s="7">
        <v>283.9155555555555</v>
      </c>
      <c r="D72" s="8">
        <v>48.008079217765967</v>
      </c>
      <c r="E72" s="8">
        <v>24.002857142857142</v>
      </c>
      <c r="F72" s="6">
        <v>0.9</v>
      </c>
      <c r="G72" s="9">
        <f>$G71</f>
        <v>75.47244444444442</v>
      </c>
      <c r="H72" s="9">
        <f t="shared" si="39"/>
        <v>1.2309763901991275</v>
      </c>
      <c r="I72" s="6">
        <v>11</v>
      </c>
      <c r="J72" s="6">
        <v>0.85</v>
      </c>
      <c r="K72" s="6">
        <v>5000</v>
      </c>
      <c r="L72" s="6">
        <v>1300</v>
      </c>
      <c r="M72" s="6">
        <v>44.7</v>
      </c>
      <c r="N72" s="9">
        <f>$N71</f>
        <v>1.865</v>
      </c>
      <c r="O72" s="9">
        <f t="shared" si="36"/>
        <v>83.365500000000011</v>
      </c>
      <c r="P72" s="10">
        <f t="shared" si="40"/>
        <v>6182.8586871365269</v>
      </c>
      <c r="Q72" s="9">
        <f t="shared" si="37"/>
        <v>25.957512703832162</v>
      </c>
      <c r="R72" s="11">
        <f t="shared" si="38"/>
        <v>3.7040470432693123E-2</v>
      </c>
    </row>
    <row r="73" spans="1:18" ht="14.25" customHeight="1">
      <c r="A73" s="6" t="s">
        <v>54</v>
      </c>
      <c r="B73" s="7">
        <v>5.2317200422039125</v>
      </c>
      <c r="C73" s="7">
        <v>325.95457142857134</v>
      </c>
      <c r="D73" s="8">
        <v>43.478177233770509</v>
      </c>
      <c r="E73" s="8">
        <v>23.826530612244898</v>
      </c>
      <c r="F73" s="6">
        <v>0.9</v>
      </c>
      <c r="G73" s="9">
        <f>$G72</f>
        <v>75.47244444444442</v>
      </c>
      <c r="H73" s="9">
        <f t="shared" si="39"/>
        <v>1.1148250572761669</v>
      </c>
      <c r="I73" s="6">
        <v>11</v>
      </c>
      <c r="J73" s="6">
        <v>0.85</v>
      </c>
      <c r="K73" s="6">
        <v>5000</v>
      </c>
      <c r="L73" s="6">
        <v>1300</v>
      </c>
      <c r="M73" s="6">
        <v>44.7</v>
      </c>
      <c r="N73" s="9">
        <f>$N72</f>
        <v>1.865</v>
      </c>
      <c r="O73" s="9">
        <f t="shared" si="36"/>
        <v>83.365500000000011</v>
      </c>
      <c r="P73" s="10">
        <f t="shared" si="40"/>
        <v>5599.4622195007469</v>
      </c>
      <c r="Q73" s="9">
        <f t="shared" si="37"/>
        <v>26.142799491662984</v>
      </c>
      <c r="R73" s="11">
        <f t="shared" si="38"/>
        <v>3.730486825325946E-2</v>
      </c>
    </row>
    <row r="74" spans="1:18" ht="14.25" customHeight="1">
      <c r="A74" s="6" t="s">
        <v>53</v>
      </c>
      <c r="B74" s="7">
        <v>4.6171828171828171</v>
      </c>
      <c r="C74" s="7">
        <v>331.23553846153845</v>
      </c>
      <c r="D74" s="8">
        <v>48.966219929173299</v>
      </c>
      <c r="E74" s="8">
        <v>25.710526315789473</v>
      </c>
      <c r="F74" s="6">
        <v>0.9</v>
      </c>
      <c r="G74" s="9">
        <f>$G73</f>
        <v>75.47244444444442</v>
      </c>
      <c r="H74" s="9">
        <f t="shared" si="39"/>
        <v>1.2555441007480335</v>
      </c>
      <c r="I74" s="6">
        <v>11</v>
      </c>
      <c r="J74" s="6">
        <v>0.85</v>
      </c>
      <c r="K74" s="6">
        <v>5000</v>
      </c>
      <c r="L74" s="6">
        <v>1300</v>
      </c>
      <c r="M74" s="6">
        <v>44.7</v>
      </c>
      <c r="N74" s="9">
        <f>$N73</f>
        <v>1.865</v>
      </c>
      <c r="O74" s="9">
        <f t="shared" si="36"/>
        <v>83.365500000000011</v>
      </c>
      <c r="P74" s="10">
        <f t="shared" si="40"/>
        <v>6306.2555969389859</v>
      </c>
      <c r="Q74" s="9">
        <f t="shared" si="37"/>
        <v>26.472788020780833</v>
      </c>
      <c r="R74" s="11">
        <f t="shared" si="38"/>
        <v>3.7775750440446572E-2</v>
      </c>
    </row>
    <row r="75" spans="1:18" ht="14.25" customHeight="1">
      <c r="D75" s="19"/>
      <c r="F75" s="19"/>
      <c r="P75" s="16" t="s">
        <v>59</v>
      </c>
      <c r="Q75" s="17">
        <f>AVERAGE(Q70:Q74)</f>
        <v>26.327038354557555</v>
      </c>
      <c r="R75" s="18">
        <f>AVERAGE(R70:R74)</f>
        <v>3.7567770721283367E-2</v>
      </c>
    </row>
    <row r="77" spans="1:18" ht="14.25" customHeight="1">
      <c r="A77" s="22" t="s">
        <v>105</v>
      </c>
    </row>
    <row r="78" spans="1:18" ht="41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82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4.25" customHeight="1">
      <c r="A79" s="6" t="s">
        <v>52</v>
      </c>
      <c r="B79" s="7">
        <v>6.9750705843153762</v>
      </c>
      <c r="C79" s="7">
        <v>304.41106249999996</v>
      </c>
      <c r="D79" s="8">
        <v>42.991610970668653</v>
      </c>
      <c r="E79" s="8">
        <v>27.800995024875622</v>
      </c>
      <c r="F79" s="6">
        <v>0.9</v>
      </c>
      <c r="G79" s="9">
        <f>'Summary N2O from residue'!H17*1000</f>
        <v>85.676888888888868</v>
      </c>
      <c r="H79" s="9">
        <f>D79*100/(3000*L79/1000)</f>
        <v>1.1023489992479141</v>
      </c>
      <c r="I79" s="6">
        <v>11</v>
      </c>
      <c r="J79" s="6">
        <v>0.85</v>
      </c>
      <c r="K79" s="6">
        <v>5000</v>
      </c>
      <c r="L79" s="6">
        <v>1300</v>
      </c>
      <c r="M79" s="6">
        <v>44.7</v>
      </c>
      <c r="N79" s="9">
        <f>N70</f>
        <v>1.865</v>
      </c>
      <c r="O79" s="9">
        <f t="shared" ref="O79:O83" si="41">M79*N79</f>
        <v>83.365500000000011</v>
      </c>
      <c r="P79" s="10">
        <f>((H79/100)*K79*L79)/I79*J79</f>
        <v>5536.7983825861138</v>
      </c>
      <c r="Q79" s="9">
        <f t="shared" ref="Q79:Q83" si="42">(21.37+(C79/(E79*F79))*((0.0037*G79)+(0.0000601*P79)-(0.00362*O79)))</f>
        <v>25.603655945800451</v>
      </c>
      <c r="R79" s="11">
        <f t="shared" ref="R79:R83" si="43">(44/28)*0.0075*(14/62)*Q79/N79</f>
        <v>3.6535529110586121E-2</v>
      </c>
    </row>
    <row r="80" spans="1:18" ht="14.25" customHeight="1">
      <c r="A80" s="6" t="s">
        <v>55</v>
      </c>
      <c r="B80" s="7">
        <v>5.8812183713381305</v>
      </c>
      <c r="C80" s="7">
        <v>428.44020359281427</v>
      </c>
      <c r="D80" s="8">
        <v>58.043681956095014</v>
      </c>
      <c r="E80" s="8">
        <v>31.024725274725274</v>
      </c>
      <c r="F80" s="6">
        <v>0.9</v>
      </c>
      <c r="G80" s="9">
        <f>$G79</f>
        <v>85.676888888888868</v>
      </c>
      <c r="H80" s="9">
        <f t="shared" ref="H80:H83" si="44">D80*100/(3000*L80/1000)</f>
        <v>1.4882995373357697</v>
      </c>
      <c r="I80" s="6">
        <v>11</v>
      </c>
      <c r="J80" s="6">
        <v>0.85</v>
      </c>
      <c r="K80" s="6">
        <v>5000</v>
      </c>
      <c r="L80" s="6">
        <v>1300</v>
      </c>
      <c r="M80" s="6">
        <v>44.7</v>
      </c>
      <c r="N80" s="9">
        <f>$N79</f>
        <v>1.865</v>
      </c>
      <c r="O80" s="9">
        <f t="shared" si="41"/>
        <v>83.365500000000011</v>
      </c>
      <c r="P80" s="10">
        <f t="shared" ref="P80:P83" si="45">((H80/100)*K80*L80)/I80*J80</f>
        <v>7475.3226761637525</v>
      </c>
      <c r="Q80" s="9">
        <f t="shared" si="42"/>
        <v>28.497127295432257</v>
      </c>
      <c r="R80" s="11">
        <f t="shared" si="43"/>
        <v>4.0664412382135445E-2</v>
      </c>
    </row>
    <row r="81" spans="1:18" ht="14.25" customHeight="1">
      <c r="A81" s="6" t="s">
        <v>51</v>
      </c>
      <c r="B81" s="7">
        <v>6.0821346177827662</v>
      </c>
      <c r="C81" s="7">
        <v>283.9155555555555</v>
      </c>
      <c r="D81" s="8">
        <v>48.008079217765967</v>
      </c>
      <c r="E81" s="8">
        <v>24.002857142857142</v>
      </c>
      <c r="F81" s="6">
        <v>0.9</v>
      </c>
      <c r="G81" s="9">
        <f>$G80</f>
        <v>85.676888888888868</v>
      </c>
      <c r="H81" s="9">
        <f t="shared" si="44"/>
        <v>1.2309763901991275</v>
      </c>
      <c r="I81" s="6">
        <v>11</v>
      </c>
      <c r="J81" s="6">
        <v>0.85</v>
      </c>
      <c r="K81" s="6">
        <v>5000</v>
      </c>
      <c r="L81" s="6">
        <v>1300</v>
      </c>
      <c r="M81" s="6">
        <v>44.7</v>
      </c>
      <c r="N81" s="9">
        <f>$N80</f>
        <v>1.865</v>
      </c>
      <c r="O81" s="9">
        <f t="shared" si="41"/>
        <v>83.365500000000011</v>
      </c>
      <c r="P81" s="10">
        <f t="shared" si="45"/>
        <v>6182.8586871365269</v>
      </c>
      <c r="Q81" s="9">
        <f t="shared" si="42"/>
        <v>26.453733347550028</v>
      </c>
      <c r="R81" s="11">
        <f t="shared" si="43"/>
        <v>3.7748560082554304E-2</v>
      </c>
    </row>
    <row r="82" spans="1:18" ht="14.25" customHeight="1">
      <c r="A82" s="6" t="s">
        <v>54</v>
      </c>
      <c r="B82" s="7">
        <v>5.2317200422039125</v>
      </c>
      <c r="C82" s="7">
        <v>325.95457142857134</v>
      </c>
      <c r="D82" s="8">
        <v>43.478177233770509</v>
      </c>
      <c r="E82" s="8">
        <v>23.826530612244898</v>
      </c>
      <c r="F82" s="6">
        <v>0.9</v>
      </c>
      <c r="G82" s="9">
        <f>$G81</f>
        <v>85.676888888888868</v>
      </c>
      <c r="H82" s="9">
        <f t="shared" si="44"/>
        <v>1.1148250572761669</v>
      </c>
      <c r="I82" s="6">
        <v>11</v>
      </c>
      <c r="J82" s="6">
        <v>0.85</v>
      </c>
      <c r="K82" s="6">
        <v>5000</v>
      </c>
      <c r="L82" s="6">
        <v>1300</v>
      </c>
      <c r="M82" s="6">
        <v>44.7</v>
      </c>
      <c r="N82" s="9">
        <f>$N81</f>
        <v>1.865</v>
      </c>
      <c r="O82" s="9">
        <f t="shared" si="41"/>
        <v>83.365500000000011</v>
      </c>
      <c r="P82" s="10">
        <f t="shared" si="45"/>
        <v>5599.4622195007469</v>
      </c>
      <c r="Q82" s="9">
        <f t="shared" si="42"/>
        <v>26.716710886105261</v>
      </c>
      <c r="R82" s="11">
        <f t="shared" si="43"/>
        <v>3.8123819910121662E-2</v>
      </c>
    </row>
    <row r="83" spans="1:18" ht="14.25" customHeight="1">
      <c r="A83" s="6" t="s">
        <v>53</v>
      </c>
      <c r="B83" s="7">
        <v>4.6171828171828171</v>
      </c>
      <c r="C83" s="7">
        <v>331.23553846153845</v>
      </c>
      <c r="D83" s="8">
        <v>48.966219929173299</v>
      </c>
      <c r="E83" s="8">
        <v>25.710526315789473</v>
      </c>
      <c r="F83" s="6">
        <v>0.9</v>
      </c>
      <c r="G83" s="9">
        <f>$G82</f>
        <v>85.676888888888868</v>
      </c>
      <c r="H83" s="9">
        <f t="shared" si="44"/>
        <v>1.2555441007480335</v>
      </c>
      <c r="I83" s="6">
        <v>11</v>
      </c>
      <c r="J83" s="6">
        <v>0.85</v>
      </c>
      <c r="K83" s="6">
        <v>5000</v>
      </c>
      <c r="L83" s="6">
        <v>1300</v>
      </c>
      <c r="M83" s="6">
        <v>44.7</v>
      </c>
      <c r="N83" s="9">
        <f>$N82</f>
        <v>1.865</v>
      </c>
      <c r="O83" s="9">
        <f t="shared" si="41"/>
        <v>83.365500000000011</v>
      </c>
      <c r="P83" s="10">
        <f t="shared" si="45"/>
        <v>6306.2555969389859</v>
      </c>
      <c r="Q83" s="9">
        <f t="shared" si="42"/>
        <v>27.013261688273214</v>
      </c>
      <c r="R83" s="11">
        <f t="shared" si="43"/>
        <v>3.8546987620557638E-2</v>
      </c>
    </row>
    <row r="84" spans="1:18" ht="14.25" customHeight="1">
      <c r="D84" s="19"/>
      <c r="F84" s="19"/>
      <c r="P84" s="16" t="s">
        <v>59</v>
      </c>
      <c r="Q84" s="17">
        <f>AVERAGE(Q79:Q83)</f>
        <v>26.856897832632239</v>
      </c>
      <c r="R84" s="18">
        <f>AVERAGE(R79:R83)</f>
        <v>3.8323861821191033E-2</v>
      </c>
    </row>
    <row r="86" spans="1:18" ht="14.25" customHeight="1">
      <c r="A86" s="22" t="s">
        <v>104</v>
      </c>
    </row>
    <row r="87" spans="1:18" ht="41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82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4.25" customHeight="1">
      <c r="A88" s="6" t="s">
        <v>52</v>
      </c>
      <c r="B88" s="7">
        <v>6.9750705843153762</v>
      </c>
      <c r="C88" s="7">
        <v>304.41106249999996</v>
      </c>
      <c r="D88" s="8">
        <v>42.991610970668653</v>
      </c>
      <c r="E88" s="8">
        <v>27.800995024875622</v>
      </c>
      <c r="F88" s="6">
        <v>0.9</v>
      </c>
      <c r="G88" s="9">
        <f>'Summary N2O from residue'!H18*1000</f>
        <v>95.881333333333316</v>
      </c>
      <c r="H88" s="9">
        <f>D88*100/(3000*L88/1000)</f>
        <v>1.1023489992479141</v>
      </c>
      <c r="I88" s="6">
        <v>11</v>
      </c>
      <c r="J88" s="6">
        <v>0.85</v>
      </c>
      <c r="K88" s="6">
        <v>5000</v>
      </c>
      <c r="L88" s="6">
        <v>1300</v>
      </c>
      <c r="M88" s="6">
        <v>44.7</v>
      </c>
      <c r="N88" s="9">
        <f>N79</f>
        <v>1.865</v>
      </c>
      <c r="O88" s="9">
        <f t="shared" ref="O88:O92" si="46">M88*N88</f>
        <v>83.365500000000011</v>
      </c>
      <c r="P88" s="10">
        <f>((H88/100)*K88*L88)/I88*J88</f>
        <v>5536.7983825861138</v>
      </c>
      <c r="Q88" s="9">
        <f t="shared" ref="Q88:Q92" si="47">(21.37+(C88/(E88*F88))*((0.0037*G88)+(0.0000601*P88)-(0.00362*O88)))</f>
        <v>26.06301118187789</v>
      </c>
      <c r="R88" s="11">
        <f t="shared" ref="R88:R92" si="48">(44/28)*0.0075*(14/62)*Q88/N88</f>
        <v>3.7191013102221324E-2</v>
      </c>
    </row>
    <row r="89" spans="1:18" ht="14.25" customHeight="1">
      <c r="A89" s="6" t="s">
        <v>55</v>
      </c>
      <c r="B89" s="7">
        <v>5.8812183713381305</v>
      </c>
      <c r="C89" s="7">
        <v>428.44020359281427</v>
      </c>
      <c r="D89" s="8">
        <v>58.043681956095014</v>
      </c>
      <c r="E89" s="8">
        <v>31.024725274725274</v>
      </c>
      <c r="F89" s="6">
        <v>0.9</v>
      </c>
      <c r="G89" s="9">
        <f>$G88</f>
        <v>95.881333333333316</v>
      </c>
      <c r="H89" s="9">
        <f t="shared" ref="H89:H92" si="49">D89*100/(3000*L89/1000)</f>
        <v>1.4882995373357697</v>
      </c>
      <c r="I89" s="6">
        <v>11</v>
      </c>
      <c r="J89" s="6">
        <v>0.85</v>
      </c>
      <c r="K89" s="6">
        <v>5000</v>
      </c>
      <c r="L89" s="6">
        <v>1300</v>
      </c>
      <c r="M89" s="6">
        <v>44.7</v>
      </c>
      <c r="N89" s="9">
        <f>$N88</f>
        <v>1.865</v>
      </c>
      <c r="O89" s="9">
        <f t="shared" si="46"/>
        <v>83.365500000000011</v>
      </c>
      <c r="P89" s="10">
        <f t="shared" ref="P89:P91" si="50">((H89/100)*K89*L89)/I89*J89</f>
        <v>7475.3226761637525</v>
      </c>
      <c r="Q89" s="9">
        <f t="shared" si="47"/>
        <v>29.076463744075721</v>
      </c>
      <c r="R89" s="11">
        <f t="shared" si="48"/>
        <v>4.149110540320413E-2</v>
      </c>
    </row>
    <row r="90" spans="1:18" ht="14.25" customHeight="1">
      <c r="A90" s="6" t="s">
        <v>51</v>
      </c>
      <c r="B90" s="7">
        <v>6.0821346177827662</v>
      </c>
      <c r="C90" s="7">
        <v>283.9155555555555</v>
      </c>
      <c r="D90" s="8">
        <v>48.008079217765967</v>
      </c>
      <c r="E90" s="8">
        <v>24.002857142857142</v>
      </c>
      <c r="F90" s="6">
        <v>0.9</v>
      </c>
      <c r="G90" s="9">
        <f>$G89</f>
        <v>95.881333333333316</v>
      </c>
      <c r="H90" s="9">
        <f t="shared" si="49"/>
        <v>1.2309763901991275</v>
      </c>
      <c r="I90" s="6">
        <v>11</v>
      </c>
      <c r="J90" s="6">
        <v>0.85</v>
      </c>
      <c r="K90" s="6">
        <v>5000</v>
      </c>
      <c r="L90" s="6">
        <v>1300</v>
      </c>
      <c r="M90" s="6">
        <v>44.7</v>
      </c>
      <c r="N90" s="9">
        <f>$N89</f>
        <v>1.865</v>
      </c>
      <c r="O90" s="9">
        <f t="shared" si="46"/>
        <v>83.365500000000011</v>
      </c>
      <c r="P90" s="10">
        <f t="shared" si="50"/>
        <v>6182.8586871365269</v>
      </c>
      <c r="Q90" s="9">
        <f t="shared" si="47"/>
        <v>26.949953991267897</v>
      </c>
      <c r="R90" s="11">
        <f t="shared" si="48"/>
        <v>3.8456649732415485E-2</v>
      </c>
    </row>
    <row r="91" spans="1:18" ht="14.25" customHeight="1">
      <c r="A91" s="6" t="s">
        <v>54</v>
      </c>
      <c r="B91" s="7">
        <v>5.2317200422039125</v>
      </c>
      <c r="C91" s="7">
        <v>325.95457142857134</v>
      </c>
      <c r="D91" s="8">
        <v>43.478177233770509</v>
      </c>
      <c r="E91" s="8">
        <v>23.826530612244898</v>
      </c>
      <c r="F91" s="6">
        <v>0.9</v>
      </c>
      <c r="G91" s="9">
        <f>$G90</f>
        <v>95.881333333333316</v>
      </c>
      <c r="H91" s="9">
        <f t="shared" si="49"/>
        <v>1.1148250572761669</v>
      </c>
      <c r="I91" s="6">
        <v>11</v>
      </c>
      <c r="J91" s="6">
        <v>0.85</v>
      </c>
      <c r="K91" s="6">
        <v>5000</v>
      </c>
      <c r="L91" s="6">
        <v>1300</v>
      </c>
      <c r="M91" s="6">
        <v>44.7</v>
      </c>
      <c r="N91" s="9">
        <f>$N90</f>
        <v>1.865</v>
      </c>
      <c r="O91" s="9">
        <f t="shared" si="46"/>
        <v>83.365500000000011</v>
      </c>
      <c r="P91" s="10">
        <f t="shared" si="50"/>
        <v>5599.4622195007469</v>
      </c>
      <c r="Q91" s="9">
        <f t="shared" si="47"/>
        <v>27.290622280547538</v>
      </c>
      <c r="R91" s="11">
        <f t="shared" si="48"/>
        <v>3.8942771566983857E-2</v>
      </c>
    </row>
    <row r="92" spans="1:18" ht="14.25" customHeight="1">
      <c r="A92" s="6" t="s">
        <v>53</v>
      </c>
      <c r="B92" s="7">
        <v>4.6171828171828171</v>
      </c>
      <c r="C92" s="7">
        <v>331.23553846153845</v>
      </c>
      <c r="D92" s="8">
        <v>48.966219929173299</v>
      </c>
      <c r="E92" s="8">
        <v>25.710526315789473</v>
      </c>
      <c r="F92" s="6">
        <v>0.9</v>
      </c>
      <c r="G92" s="9">
        <f>$G91</f>
        <v>95.881333333333316</v>
      </c>
      <c r="H92" s="9">
        <f t="shared" si="49"/>
        <v>1.2555441007480335</v>
      </c>
      <c r="I92" s="6">
        <v>11</v>
      </c>
      <c r="J92" s="6">
        <v>0.85</v>
      </c>
      <c r="K92" s="6">
        <v>5000</v>
      </c>
      <c r="L92" s="6">
        <v>1300</v>
      </c>
      <c r="M92" s="6">
        <v>44.7</v>
      </c>
      <c r="N92" s="9">
        <f>$N91</f>
        <v>1.865</v>
      </c>
      <c r="O92" s="9">
        <f t="shared" si="46"/>
        <v>83.365500000000011</v>
      </c>
      <c r="P92" s="10">
        <f>((H92/100)*K92*L92)/I92*J92</f>
        <v>6306.2555969389859</v>
      </c>
      <c r="Q92" s="9">
        <f t="shared" si="47"/>
        <v>27.553735355765596</v>
      </c>
      <c r="R92" s="11">
        <f t="shared" si="48"/>
        <v>3.9318224800668711E-2</v>
      </c>
    </row>
    <row r="93" spans="1:18" ht="14.25" customHeight="1">
      <c r="D93" s="19"/>
      <c r="F93" s="19"/>
      <c r="P93" s="16" t="s">
        <v>59</v>
      </c>
      <c r="Q93" s="17">
        <f>AVERAGE(Q88:Q92)</f>
        <v>27.38675731070693</v>
      </c>
      <c r="R93" s="18">
        <f>AVERAGE(R88:R92)</f>
        <v>3.9079952921098698E-2</v>
      </c>
    </row>
  </sheetData>
  <mergeCells count="2">
    <mergeCell ref="A2:C2"/>
    <mergeCell ref="A12:C12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opLeftCell="H25" zoomScale="104" zoomScaleNormal="104" workbookViewId="0">
      <selection activeCell="F10" sqref="A10:XFD10"/>
    </sheetView>
  </sheetViews>
  <sheetFormatPr defaultColWidth="13.6328125" defaultRowHeight="16.25" customHeight="1"/>
  <cols>
    <col min="1" max="12" width="13.6328125" style="1"/>
    <col min="13" max="13" width="15" style="1" customWidth="1"/>
    <col min="14" max="17" width="13.6328125" style="1"/>
    <col min="18" max="18" width="18.7265625" style="1" customWidth="1"/>
    <col min="19" max="16384" width="13.6328125" style="1"/>
  </cols>
  <sheetData>
    <row r="1" spans="1:18" ht="16.25" customHeight="1">
      <c r="A1" s="31" t="s">
        <v>4</v>
      </c>
    </row>
    <row r="2" spans="1:18" ht="16.25" customHeight="1">
      <c r="A2" s="2" t="s">
        <v>100</v>
      </c>
      <c r="B2" s="2"/>
      <c r="C2" s="2"/>
    </row>
    <row r="3" spans="1:18" ht="17" customHeight="1">
      <c r="A3" s="35"/>
      <c r="B3" s="35"/>
      <c r="C3" s="35"/>
      <c r="D3" s="35"/>
      <c r="E3" s="35"/>
      <c r="F3" s="35"/>
      <c r="G3" s="35"/>
      <c r="H3" s="35"/>
      <c r="I3" s="36"/>
      <c r="J3" s="35"/>
      <c r="K3" s="35"/>
      <c r="L3" s="35"/>
      <c r="M3" s="35"/>
      <c r="N3" s="35"/>
      <c r="O3" s="35"/>
      <c r="P3" s="35"/>
      <c r="Q3" s="35"/>
      <c r="R3" s="35"/>
    </row>
    <row r="4" spans="1:18" ht="45.5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82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18" ht="16.25" customHeight="1">
      <c r="A5" s="6" t="s">
        <v>70</v>
      </c>
      <c r="B5" s="7">
        <v>3.0342151186663395</v>
      </c>
      <c r="C5" s="7">
        <v>435.06482926829256</v>
      </c>
      <c r="D5" s="8">
        <v>50.286498965213497</v>
      </c>
      <c r="E5" s="8">
        <v>25.020034843205575</v>
      </c>
      <c r="F5" s="6">
        <v>0.9</v>
      </c>
      <c r="G5" s="9">
        <v>36.74</v>
      </c>
      <c r="H5" s="9">
        <f>D5*100/(3000*L5/1000)</f>
        <v>1.223515789907871</v>
      </c>
      <c r="I5" s="6">
        <v>11</v>
      </c>
      <c r="J5" s="6">
        <v>0.85</v>
      </c>
      <c r="K5" s="6">
        <v>5000</v>
      </c>
      <c r="L5" s="6">
        <v>1370</v>
      </c>
      <c r="M5" s="6">
        <v>44.7</v>
      </c>
      <c r="N5" s="6">
        <f>'[1]Crop&amp;input data'!B12</f>
        <v>1.865</v>
      </c>
      <c r="O5" s="6">
        <f t="shared" ref="O5:O9" si="0">M5*N5</f>
        <v>83.365500000000011</v>
      </c>
      <c r="P5" s="10">
        <f>((H5/100)*K5*L5)/I5*J5</f>
        <v>6476.2915333987085</v>
      </c>
      <c r="Q5" s="9">
        <f>(21.37+(C5/(E5*F5))*((0.0037*G5)+(0.0000601*P5)-(0.00362*O5)))</f>
        <v>25.685865133465015</v>
      </c>
      <c r="R5" s="11">
        <f t="shared" ref="R5:R9" si="1">(44/28)*0.0075*(14/62)*Q5/N5</f>
        <v>3.6652838770403241E-2</v>
      </c>
    </row>
    <row r="6" spans="1:18" ht="16.25" customHeight="1">
      <c r="A6" s="6" t="s">
        <v>75</v>
      </c>
      <c r="B6" s="7">
        <v>2.5987608442427721</v>
      </c>
      <c r="C6" s="7">
        <v>451.58139759036135</v>
      </c>
      <c r="D6" s="8">
        <v>83.952695478311057</v>
      </c>
      <c r="E6" s="8">
        <v>23.327188940092167</v>
      </c>
      <c r="F6" s="6">
        <v>0.9</v>
      </c>
      <c r="G6" s="9">
        <f>$G5</f>
        <v>36.74</v>
      </c>
      <c r="H6" s="9">
        <f t="shared" ref="H6:H9" si="2">D6*100/(3000*L6/1000)</f>
        <v>2.1862681114143503</v>
      </c>
      <c r="I6" s="6">
        <v>11</v>
      </c>
      <c r="J6" s="6">
        <v>0.85</v>
      </c>
      <c r="K6" s="6">
        <v>5000</v>
      </c>
      <c r="L6" s="6">
        <v>1280</v>
      </c>
      <c r="M6" s="6">
        <v>44.7</v>
      </c>
      <c r="N6" s="6">
        <f>$N5</f>
        <v>1.865</v>
      </c>
      <c r="O6" s="6">
        <f t="shared" si="0"/>
        <v>83.365500000000011</v>
      </c>
      <c r="P6" s="10">
        <f t="shared" ref="P6:P8" si="3">((H6/100)*K6*L6)/I6*J6</f>
        <v>10812.089569176424</v>
      </c>
      <c r="Q6" s="9">
        <f>(21.37+(C6/(E6*F6))*((0.0037*G6)+(0.0000601*P6)-(0.00362*O6)))</f>
        <v>31.779788764663387</v>
      </c>
      <c r="R6" s="11">
        <f t="shared" si="1"/>
        <v>4.5348656457402554E-2</v>
      </c>
    </row>
    <row r="7" spans="1:18" ht="16.25" customHeight="1">
      <c r="A7" s="6" t="s">
        <v>71</v>
      </c>
      <c r="B7" s="7">
        <v>5.9616691607432344</v>
      </c>
      <c r="C7" s="7">
        <v>404.0293333333334</v>
      </c>
      <c r="D7" s="8">
        <v>60.416034696203269</v>
      </c>
      <c r="E7" s="8">
        <v>24.987632508833922</v>
      </c>
      <c r="F7" s="6">
        <v>0.9</v>
      </c>
      <c r="G7" s="9">
        <f>$G6</f>
        <v>36.74</v>
      </c>
      <c r="H7" s="9">
        <f t="shared" si="2"/>
        <v>1.5983077961958536</v>
      </c>
      <c r="I7" s="6">
        <v>11</v>
      </c>
      <c r="J7" s="6">
        <v>0.85</v>
      </c>
      <c r="K7" s="6">
        <v>5000</v>
      </c>
      <c r="L7" s="6">
        <v>1260</v>
      </c>
      <c r="M7" s="6">
        <v>44.7</v>
      </c>
      <c r="N7" s="6">
        <f>$N6</f>
        <v>1.865</v>
      </c>
      <c r="O7" s="6">
        <f t="shared" si="0"/>
        <v>83.365500000000011</v>
      </c>
      <c r="P7" s="10">
        <f t="shared" si="3"/>
        <v>7780.8529532989041</v>
      </c>
      <c r="Q7" s="9">
        <f>(21.37+(C7/(E7*F7))*((0.0037*G7)+(0.0000601*P7)-(0.00362*O7)))</f>
        <v>26.791777704510981</v>
      </c>
      <c r="R7" s="11">
        <f t="shared" si="1"/>
        <v>3.8230937656700777E-2</v>
      </c>
    </row>
    <row r="8" spans="1:18" ht="16.25" customHeight="1">
      <c r="A8" s="6" t="s">
        <v>69</v>
      </c>
      <c r="B8" s="7">
        <v>3.9091590019435554</v>
      </c>
      <c r="C8" s="7">
        <v>429.78348780487795</v>
      </c>
      <c r="D8" s="8">
        <v>71.852260826780551</v>
      </c>
      <c r="E8" s="8">
        <v>21.217898832684824</v>
      </c>
      <c r="F8" s="6">
        <v>0.9</v>
      </c>
      <c r="G8" s="9">
        <f>$G7</f>
        <v>36.74</v>
      </c>
      <c r="H8" s="9">
        <f t="shared" si="2"/>
        <v>1.8566475665834767</v>
      </c>
      <c r="I8" s="6">
        <v>11</v>
      </c>
      <c r="J8" s="6">
        <v>0.85</v>
      </c>
      <c r="K8" s="6">
        <v>5000</v>
      </c>
      <c r="L8" s="6">
        <v>1290</v>
      </c>
      <c r="M8" s="6">
        <v>44.7</v>
      </c>
      <c r="N8" s="6">
        <f>$N7</f>
        <v>1.865</v>
      </c>
      <c r="O8" s="6">
        <f t="shared" si="0"/>
        <v>83.365500000000011</v>
      </c>
      <c r="P8" s="10">
        <f t="shared" si="3"/>
        <v>9253.7002579944638</v>
      </c>
      <c r="Q8" s="9">
        <f>(21.37+(C8/(E8*F8))*((0.0037*G8)+(0.0000601*P8)-(0.00362*O8)))</f>
        <v>30.154275043112754</v>
      </c>
      <c r="R8" s="11">
        <f t="shared" si="1"/>
        <v>4.3029104748885265E-2</v>
      </c>
    </row>
    <row r="9" spans="1:18" ht="16.25" customHeight="1">
      <c r="A9" s="6" t="s">
        <v>68</v>
      </c>
      <c r="B9" s="7">
        <v>4.2081757113619851</v>
      </c>
      <c r="C9" s="7">
        <v>444.43276470588233</v>
      </c>
      <c r="D9" s="8">
        <v>81.849646872848766</v>
      </c>
      <c r="E9" s="8">
        <v>21.776923076923076</v>
      </c>
      <c r="F9" s="6">
        <v>0.9</v>
      </c>
      <c r="G9" s="9">
        <f>$G8</f>
        <v>36.74</v>
      </c>
      <c r="H9" s="9">
        <f t="shared" si="2"/>
        <v>2.1149779553707688</v>
      </c>
      <c r="I9" s="6">
        <v>11</v>
      </c>
      <c r="J9" s="6">
        <v>0.85</v>
      </c>
      <c r="K9" s="6">
        <v>5000</v>
      </c>
      <c r="L9" s="6">
        <v>1290</v>
      </c>
      <c r="M9" s="6">
        <v>44.7</v>
      </c>
      <c r="N9" s="6">
        <f>$N8</f>
        <v>1.865</v>
      </c>
      <c r="O9" s="6">
        <f t="shared" si="0"/>
        <v>83.365500000000011</v>
      </c>
      <c r="P9" s="10">
        <f>((H9/100)*K9*L9)/I9*J9</f>
        <v>10541.242400291127</v>
      </c>
      <c r="Q9" s="9">
        <f>(21.37+(C9/(E9*F9))*((0.0037*G9)+(0.0000601*P9)-(0.00362*O9)))</f>
        <v>31.975206870168492</v>
      </c>
      <c r="R9" s="11">
        <f t="shared" si="1"/>
        <v>4.562751131694024E-2</v>
      </c>
    </row>
    <row r="10" spans="1:18" ht="14.25" customHeight="1">
      <c r="D10" s="19"/>
      <c r="F10" s="19"/>
      <c r="P10" s="16" t="s">
        <v>59</v>
      </c>
      <c r="Q10" s="17">
        <f>AVERAGE(Q5:Q9)</f>
        <v>29.277382703184127</v>
      </c>
      <c r="R10" s="18">
        <f>AVERAGE(R5:R9)</f>
        <v>4.1777809790066414E-2</v>
      </c>
    </row>
    <row r="12" spans="1:18" ht="16.25" customHeight="1">
      <c r="A12" s="21" t="s">
        <v>121</v>
      </c>
      <c r="B12" s="21"/>
      <c r="C12" s="21"/>
    </row>
    <row r="13" spans="1:18" ht="16.25" customHeight="1">
      <c r="A13" s="33"/>
    </row>
    <row r="14" spans="1:18" ht="16.25" customHeight="1">
      <c r="A14" s="22" t="s">
        <v>101</v>
      </c>
      <c r="B14" s="35"/>
      <c r="C14" s="35"/>
      <c r="D14" s="35"/>
      <c r="E14" s="35"/>
      <c r="H14" s="35"/>
      <c r="I14" s="36"/>
      <c r="J14" s="35"/>
      <c r="K14" s="35"/>
      <c r="L14" s="35"/>
      <c r="M14" s="35"/>
      <c r="N14" s="35"/>
      <c r="O14" s="35"/>
      <c r="P14" s="35"/>
      <c r="Q14" s="35"/>
      <c r="R14" s="35"/>
    </row>
    <row r="15" spans="1:18" ht="45.5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82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18" ht="16.25" customHeight="1">
      <c r="A16" s="6" t="s">
        <v>70</v>
      </c>
      <c r="B16" s="7">
        <v>3.0342151186663395</v>
      </c>
      <c r="C16" s="7">
        <v>435.06482926829256</v>
      </c>
      <c r="D16" s="8">
        <v>50.286498965213497</v>
      </c>
      <c r="E16" s="8">
        <v>25.020034843205575</v>
      </c>
      <c r="F16" s="6">
        <v>0.9</v>
      </c>
      <c r="G16" s="9">
        <f>'Summary N2O from residue'!H10*1000</f>
        <v>31.960444444444445</v>
      </c>
      <c r="H16" s="9">
        <f>D16*100/(3000*L16/1000)</f>
        <v>1.223515789907871</v>
      </c>
      <c r="I16" s="6">
        <v>11</v>
      </c>
      <c r="J16" s="6">
        <v>0.85</v>
      </c>
      <c r="K16" s="6">
        <v>5000</v>
      </c>
      <c r="L16" s="6">
        <v>1370</v>
      </c>
      <c r="M16" s="6">
        <v>44.7</v>
      </c>
      <c r="N16" s="6">
        <f>N5</f>
        <v>1.865</v>
      </c>
      <c r="O16" s="6">
        <f t="shared" ref="O16:O20" si="4">M16*N16</f>
        <v>83.365500000000011</v>
      </c>
      <c r="P16" s="10">
        <f>((H16/100)*K16*L16)/I16*J16</f>
        <v>6476.2915333987085</v>
      </c>
      <c r="Q16" s="9">
        <f>(21.37+(C16/(E16*F16))*((0.0037*G16)+(0.0000601*P16)-(0.00362*O16)))</f>
        <v>25.34419045472087</v>
      </c>
      <c r="R16" s="11">
        <f t="shared" ref="R16:R20" si="5">(44/28)*0.0075*(14/62)*Q16/N16</f>
        <v>3.6165280852970182E-2</v>
      </c>
    </row>
    <row r="17" spans="1:18" ht="16.25" customHeight="1">
      <c r="A17" s="6" t="s">
        <v>75</v>
      </c>
      <c r="B17" s="7">
        <v>2.5987608442427721</v>
      </c>
      <c r="C17" s="7">
        <v>451.58139759036135</v>
      </c>
      <c r="D17" s="8">
        <v>83.952695478311057</v>
      </c>
      <c r="E17" s="8">
        <v>23.327188940092167</v>
      </c>
      <c r="F17" s="6">
        <v>0.9</v>
      </c>
      <c r="G17" s="9">
        <f>$G16</f>
        <v>31.960444444444445</v>
      </c>
      <c r="H17" s="9">
        <f t="shared" ref="H17:H20" si="6">D17*100/(3000*L17/1000)</f>
        <v>2.1862681114143503</v>
      </c>
      <c r="I17" s="6">
        <v>11</v>
      </c>
      <c r="J17" s="6">
        <v>0.85</v>
      </c>
      <c r="K17" s="6">
        <v>5000</v>
      </c>
      <c r="L17" s="6">
        <v>1280</v>
      </c>
      <c r="M17" s="6">
        <v>44.7</v>
      </c>
      <c r="N17" s="6">
        <f>$N16</f>
        <v>1.865</v>
      </c>
      <c r="O17" s="6">
        <f t="shared" si="4"/>
        <v>83.365500000000011</v>
      </c>
      <c r="P17" s="10">
        <f t="shared" ref="P17:P19" si="7">((H17/100)*K17*L17)/I17*J17</f>
        <v>10812.089569176424</v>
      </c>
      <c r="Q17" s="9">
        <f>(21.37+(C17/(E17*F17))*((0.0037*G17)+(0.0000601*P17)-(0.00362*O17)))</f>
        <v>31.399406407798292</v>
      </c>
      <c r="R17" s="11">
        <f t="shared" si="5"/>
        <v>4.4805864025656984E-2</v>
      </c>
    </row>
    <row r="18" spans="1:18" ht="16.25" customHeight="1">
      <c r="A18" s="6" t="s">
        <v>71</v>
      </c>
      <c r="B18" s="7">
        <v>5.9616691607432344</v>
      </c>
      <c r="C18" s="7">
        <v>404.0293333333334</v>
      </c>
      <c r="D18" s="8">
        <v>60.416034696203269</v>
      </c>
      <c r="E18" s="8">
        <v>24.987632508833922</v>
      </c>
      <c r="F18" s="6">
        <v>0.9</v>
      </c>
      <c r="G18" s="9">
        <f>$G17</f>
        <v>31.960444444444445</v>
      </c>
      <c r="H18" s="9">
        <f t="shared" si="6"/>
        <v>1.5983077961958536</v>
      </c>
      <c r="I18" s="6">
        <v>11</v>
      </c>
      <c r="J18" s="6">
        <v>0.85</v>
      </c>
      <c r="K18" s="6">
        <v>5000</v>
      </c>
      <c r="L18" s="6">
        <v>1260</v>
      </c>
      <c r="M18" s="6">
        <v>44.7</v>
      </c>
      <c r="N18" s="6">
        <f>$N17</f>
        <v>1.865</v>
      </c>
      <c r="O18" s="6">
        <f t="shared" si="4"/>
        <v>83.365500000000011</v>
      </c>
      <c r="P18" s="10">
        <f t="shared" si="7"/>
        <v>7780.8529532989041</v>
      </c>
      <c r="Q18" s="9">
        <f>(21.37+(C18/(E18*F18))*((0.0037*G18)+(0.0000601*P18)-(0.00362*O18)))</f>
        <v>26.474065048370441</v>
      </c>
      <c r="R18" s="11">
        <f t="shared" si="5"/>
        <v>3.777757271453016E-2</v>
      </c>
    </row>
    <row r="19" spans="1:18" ht="16.25" customHeight="1">
      <c r="A19" s="6" t="s">
        <v>69</v>
      </c>
      <c r="B19" s="7">
        <v>3.9091590019435554</v>
      </c>
      <c r="C19" s="7">
        <v>429.78348780487795</v>
      </c>
      <c r="D19" s="8">
        <v>71.852260826780551</v>
      </c>
      <c r="E19" s="8">
        <v>21.217898832684824</v>
      </c>
      <c r="F19" s="6">
        <v>0.9</v>
      </c>
      <c r="G19" s="9">
        <f>$G18</f>
        <v>31.960444444444445</v>
      </c>
      <c r="H19" s="9">
        <f t="shared" si="6"/>
        <v>1.8566475665834767</v>
      </c>
      <c r="I19" s="6">
        <v>11</v>
      </c>
      <c r="J19" s="6">
        <v>0.85</v>
      </c>
      <c r="K19" s="6">
        <v>5000</v>
      </c>
      <c r="L19" s="6">
        <v>1290</v>
      </c>
      <c r="M19" s="6">
        <v>44.7</v>
      </c>
      <c r="N19" s="6">
        <f>$N18</f>
        <v>1.865</v>
      </c>
      <c r="O19" s="6">
        <f t="shared" si="4"/>
        <v>83.365500000000011</v>
      </c>
      <c r="P19" s="10">
        <f t="shared" si="7"/>
        <v>9253.7002579944638</v>
      </c>
      <c r="Q19" s="9">
        <f>(21.37+(C19/(E19*F19))*((0.0037*G19)+(0.0000601*P19)-(0.00362*O19)))</f>
        <v>29.756264954754911</v>
      </c>
      <c r="R19" s="11">
        <f t="shared" si="5"/>
        <v>4.2461158155621889E-2</v>
      </c>
    </row>
    <row r="20" spans="1:18" ht="16.25" customHeight="1">
      <c r="A20" s="6" t="s">
        <v>68</v>
      </c>
      <c r="B20" s="7">
        <v>4.2081757113619851</v>
      </c>
      <c r="C20" s="7">
        <v>444.43276470588233</v>
      </c>
      <c r="D20" s="8">
        <v>81.849646872848766</v>
      </c>
      <c r="E20" s="8">
        <v>21.776923076923076</v>
      </c>
      <c r="F20" s="6">
        <v>0.9</v>
      </c>
      <c r="G20" s="9">
        <f>$G19</f>
        <v>31.960444444444445</v>
      </c>
      <c r="H20" s="9">
        <f t="shared" si="6"/>
        <v>2.1149779553707688</v>
      </c>
      <c r="I20" s="6">
        <v>11</v>
      </c>
      <c r="J20" s="6">
        <v>0.85</v>
      </c>
      <c r="K20" s="6">
        <v>5000</v>
      </c>
      <c r="L20" s="6">
        <v>1290</v>
      </c>
      <c r="M20" s="6">
        <v>44.7</v>
      </c>
      <c r="N20" s="6">
        <f>$N19</f>
        <v>1.865</v>
      </c>
      <c r="O20" s="6">
        <f t="shared" si="4"/>
        <v>83.365500000000011</v>
      </c>
      <c r="P20" s="10">
        <f>((H20/100)*K20*L20)/I20*J20</f>
        <v>10541.242400291127</v>
      </c>
      <c r="Q20" s="9">
        <f>(21.37+(C20/(E20*F20))*((0.0037*G20)+(0.0000601*P20)-(0.00362*O20)))</f>
        <v>31.574195875189229</v>
      </c>
      <c r="R20" s="11">
        <f t="shared" si="5"/>
        <v>4.5055282533998285E-2</v>
      </c>
    </row>
    <row r="21" spans="1:18" ht="14.25" customHeight="1">
      <c r="D21" s="19"/>
      <c r="F21" s="19"/>
      <c r="P21" s="16" t="s">
        <v>59</v>
      </c>
      <c r="Q21" s="17">
        <f>AVERAGE(Q16:Q20)</f>
        <v>28.90962454816675</v>
      </c>
      <c r="R21" s="18">
        <f>AVERAGE(R16:R20)</f>
        <v>4.12530316565555E-2</v>
      </c>
    </row>
    <row r="23" spans="1:18" ht="16.25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45.5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82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8" ht="16.25" customHeight="1">
      <c r="A25" s="6" t="s">
        <v>70</v>
      </c>
      <c r="B25" s="7">
        <v>3.0342151186663395</v>
      </c>
      <c r="C25" s="7">
        <v>435.06482926829256</v>
      </c>
      <c r="D25" s="8">
        <v>50.286498965213497</v>
      </c>
      <c r="E25" s="8">
        <v>25.020034843205575</v>
      </c>
      <c r="F25" s="6">
        <v>0.9</v>
      </c>
      <c r="G25" s="9">
        <f>'Summary N2O from residue'!H11*1000</f>
        <v>42.164888888888889</v>
      </c>
      <c r="H25" s="9">
        <f>D25*100/(3000*L25/1000)</f>
        <v>1.223515789907871</v>
      </c>
      <c r="I25" s="6">
        <v>11</v>
      </c>
      <c r="J25" s="6">
        <v>0.85</v>
      </c>
      <c r="K25" s="6">
        <v>5000</v>
      </c>
      <c r="L25" s="6">
        <v>1370</v>
      </c>
      <c r="M25" s="6">
        <v>44.7</v>
      </c>
      <c r="N25" s="6">
        <f>N16</f>
        <v>1.865</v>
      </c>
      <c r="O25" s="6">
        <f t="shared" ref="O25:O29" si="8">M25*N25</f>
        <v>83.365500000000011</v>
      </c>
      <c r="P25" s="10">
        <f>((H25/100)*K25*L25)/I25*J25</f>
        <v>6476.2915333987085</v>
      </c>
      <c r="Q25" s="9">
        <f>(21.37+(C25/(E25*F25))*((0.0037*G25)+(0.0000601*P25)-(0.00362*O25)))</f>
        <v>26.073672565932096</v>
      </c>
      <c r="R25" s="11">
        <f t="shared" ref="R25:R29" si="9">(44/28)*0.0075*(14/62)*Q25/N25</f>
        <v>3.7206226527534331E-2</v>
      </c>
    </row>
    <row r="26" spans="1:18" ht="16.25" customHeight="1">
      <c r="A26" s="6" t="s">
        <v>75</v>
      </c>
      <c r="B26" s="7">
        <v>2.5987608442427721</v>
      </c>
      <c r="C26" s="7">
        <v>451.58139759036135</v>
      </c>
      <c r="D26" s="8">
        <v>83.952695478311057</v>
      </c>
      <c r="E26" s="8">
        <v>23.327188940092167</v>
      </c>
      <c r="F26" s="6">
        <v>0.9</v>
      </c>
      <c r="G26" s="9">
        <f>$G25</f>
        <v>42.164888888888889</v>
      </c>
      <c r="H26" s="9">
        <f t="shared" ref="H26:H29" si="10">D26*100/(3000*L26/1000)</f>
        <v>2.1862681114143503</v>
      </c>
      <c r="I26" s="6">
        <v>11</v>
      </c>
      <c r="J26" s="6">
        <v>0.85</v>
      </c>
      <c r="K26" s="6">
        <v>5000</v>
      </c>
      <c r="L26" s="6">
        <v>1280</v>
      </c>
      <c r="M26" s="6">
        <v>44.7</v>
      </c>
      <c r="N26" s="6">
        <f>$N25</f>
        <v>1.865</v>
      </c>
      <c r="O26" s="6">
        <f t="shared" si="8"/>
        <v>83.365500000000011</v>
      </c>
      <c r="P26" s="10">
        <f t="shared" ref="P26:P28" si="11">((H26/100)*K26*L26)/I26*J26</f>
        <v>10812.089569176424</v>
      </c>
      <c r="Q26" s="9">
        <f>(21.37+(C26/(E26*F26))*((0.0037*G26)+(0.0000601*P26)-(0.00362*O26)))</f>
        <v>32.211530167666488</v>
      </c>
      <c r="R26" s="11">
        <f t="shared" si="9"/>
        <v>4.5964736466876849E-2</v>
      </c>
    </row>
    <row r="27" spans="1:18" ht="16.25" customHeight="1">
      <c r="A27" s="6" t="s">
        <v>71</v>
      </c>
      <c r="B27" s="7">
        <v>5.9616691607432344</v>
      </c>
      <c r="C27" s="7">
        <v>404.0293333333334</v>
      </c>
      <c r="D27" s="8">
        <v>60.416034696203269</v>
      </c>
      <c r="E27" s="8">
        <v>24.987632508833922</v>
      </c>
      <c r="F27" s="6">
        <v>0.9</v>
      </c>
      <c r="G27" s="9">
        <f>$G26</f>
        <v>42.164888888888889</v>
      </c>
      <c r="H27" s="9">
        <f t="shared" si="10"/>
        <v>1.5983077961958536</v>
      </c>
      <c r="I27" s="6">
        <v>11</v>
      </c>
      <c r="J27" s="6">
        <v>0.85</v>
      </c>
      <c r="K27" s="6">
        <v>5000</v>
      </c>
      <c r="L27" s="6">
        <v>1260</v>
      </c>
      <c r="M27" s="6">
        <v>44.7</v>
      </c>
      <c r="N27" s="6">
        <f>$N26</f>
        <v>1.865</v>
      </c>
      <c r="O27" s="6">
        <f t="shared" si="8"/>
        <v>83.365500000000011</v>
      </c>
      <c r="P27" s="10">
        <f t="shared" si="11"/>
        <v>7780.8529532989041</v>
      </c>
      <c r="Q27" s="9">
        <f>(21.37+(C27/(E27*F27))*((0.0037*G27)+(0.0000601*P27)-(0.00362*O27)))</f>
        <v>27.152387773401752</v>
      </c>
      <c r="R27" s="11">
        <f t="shared" si="9"/>
        <v>3.8745515719201665E-2</v>
      </c>
    </row>
    <row r="28" spans="1:18" ht="16.25" customHeight="1">
      <c r="A28" s="6" t="s">
        <v>69</v>
      </c>
      <c r="B28" s="7">
        <v>3.9091590019435554</v>
      </c>
      <c r="C28" s="7">
        <v>429.78348780487795</v>
      </c>
      <c r="D28" s="8">
        <v>71.852260826780551</v>
      </c>
      <c r="E28" s="8">
        <v>21.217898832684824</v>
      </c>
      <c r="F28" s="6">
        <v>0.9</v>
      </c>
      <c r="G28" s="9">
        <f>$G27</f>
        <v>42.164888888888889</v>
      </c>
      <c r="H28" s="9">
        <f t="shared" si="10"/>
        <v>1.8566475665834767</v>
      </c>
      <c r="I28" s="6">
        <v>11</v>
      </c>
      <c r="J28" s="6">
        <v>0.85</v>
      </c>
      <c r="K28" s="6">
        <v>5000</v>
      </c>
      <c r="L28" s="6">
        <v>1290</v>
      </c>
      <c r="M28" s="6">
        <v>44.7</v>
      </c>
      <c r="N28" s="6">
        <f>$N27</f>
        <v>1.865</v>
      </c>
      <c r="O28" s="6">
        <f t="shared" si="8"/>
        <v>83.365500000000011</v>
      </c>
      <c r="P28" s="10">
        <f t="shared" si="11"/>
        <v>9253.7002579944638</v>
      </c>
      <c r="Q28" s="9">
        <f>(21.37+(C28/(E28*F28))*((0.0037*G28)+(0.0000601*P28)-(0.00362*O28)))</f>
        <v>30.606024265587727</v>
      </c>
      <c r="R28" s="11">
        <f t="shared" si="9"/>
        <v>4.3673735222883113E-2</v>
      </c>
    </row>
    <row r="29" spans="1:18" ht="16.25" customHeight="1">
      <c r="A29" s="6" t="s">
        <v>68</v>
      </c>
      <c r="B29" s="7">
        <v>4.2081757113619851</v>
      </c>
      <c r="C29" s="7">
        <v>444.43276470588233</v>
      </c>
      <c r="D29" s="8">
        <v>81.849646872848766</v>
      </c>
      <c r="E29" s="8">
        <v>21.776923076923076</v>
      </c>
      <c r="F29" s="6">
        <v>0.9</v>
      </c>
      <c r="G29" s="9">
        <f>$G28</f>
        <v>42.164888888888889</v>
      </c>
      <c r="H29" s="9">
        <f t="shared" si="10"/>
        <v>2.1149779553707688</v>
      </c>
      <c r="I29" s="6">
        <v>11</v>
      </c>
      <c r="J29" s="6">
        <v>0.85</v>
      </c>
      <c r="K29" s="6">
        <v>5000</v>
      </c>
      <c r="L29" s="6">
        <v>1290</v>
      </c>
      <c r="M29" s="6">
        <v>44.7</v>
      </c>
      <c r="N29" s="6">
        <f>$N28</f>
        <v>1.865</v>
      </c>
      <c r="O29" s="6">
        <f t="shared" si="8"/>
        <v>83.365500000000011</v>
      </c>
      <c r="P29" s="10">
        <f>((H29/100)*K29*L29)/I29*J29</f>
        <v>10541.242400291127</v>
      </c>
      <c r="Q29" s="9">
        <f>(21.37+(C29/(E29*F29))*((0.0037*G29)+(0.0000601*P29)-(0.00362*O29)))</f>
        <v>32.43036218025933</v>
      </c>
      <c r="R29" s="11">
        <f t="shared" si="9"/>
        <v>4.6277002159844233E-2</v>
      </c>
    </row>
    <row r="30" spans="1:18" ht="14.25" customHeight="1">
      <c r="D30" s="19"/>
      <c r="F30" s="19"/>
      <c r="P30" s="16" t="s">
        <v>59</v>
      </c>
      <c r="Q30" s="17">
        <f>AVERAGE(Q25:Q29)</f>
        <v>29.694795390569475</v>
      </c>
      <c r="R30" s="18">
        <f>AVERAGE(R25:R29)</f>
        <v>4.2373443219268038E-2</v>
      </c>
    </row>
    <row r="32" spans="1:18" ht="16.25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45.5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82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8" ht="16.25" customHeight="1">
      <c r="A34" s="6" t="s">
        <v>70</v>
      </c>
      <c r="B34" s="7">
        <v>3.0342151186663395</v>
      </c>
      <c r="C34" s="7">
        <v>435.06482926829256</v>
      </c>
      <c r="D34" s="8">
        <v>50.286498965213497</v>
      </c>
      <c r="E34" s="8">
        <v>25.020034843205575</v>
      </c>
      <c r="F34" s="6">
        <v>0.9</v>
      </c>
      <c r="G34" s="9">
        <f>'Summary N2O from residue'!H12*1000</f>
        <v>52.369333333333337</v>
      </c>
      <c r="H34" s="9">
        <f>D34*100/(3000*L34/1000)</f>
        <v>1.223515789907871</v>
      </c>
      <c r="I34" s="6">
        <v>11</v>
      </c>
      <c r="J34" s="6">
        <v>0.85</v>
      </c>
      <c r="K34" s="6">
        <v>5000</v>
      </c>
      <c r="L34" s="6">
        <v>1370</v>
      </c>
      <c r="M34" s="6">
        <v>44.7</v>
      </c>
      <c r="N34" s="6">
        <f>N25</f>
        <v>1.865</v>
      </c>
      <c r="O34" s="6">
        <f t="shared" ref="O34:O38" si="12">M34*N34</f>
        <v>83.365500000000011</v>
      </c>
      <c r="P34" s="10">
        <f>((H34/100)*K34*L34)/I34*J34</f>
        <v>6476.2915333987085</v>
      </c>
      <c r="Q34" s="9">
        <f>(21.37+(C34/(E34*F34))*((0.0037*G34)+(0.0000601*P34)-(0.00362*O34)))</f>
        <v>26.803154677143322</v>
      </c>
      <c r="R34" s="11">
        <f t="shared" ref="R34:R38" si="13">(44/28)*0.0075*(14/62)*Q34/N34</f>
        <v>3.824717220209848E-2</v>
      </c>
    </row>
    <row r="35" spans="1:18" ht="16.25" customHeight="1">
      <c r="A35" s="6" t="s">
        <v>75</v>
      </c>
      <c r="B35" s="7">
        <v>2.5987608442427721</v>
      </c>
      <c r="C35" s="7">
        <v>451.58139759036135</v>
      </c>
      <c r="D35" s="8">
        <v>83.952695478311057</v>
      </c>
      <c r="E35" s="8">
        <v>23.327188940092167</v>
      </c>
      <c r="F35" s="6">
        <v>0.9</v>
      </c>
      <c r="G35" s="9">
        <f>$G34</f>
        <v>52.369333333333337</v>
      </c>
      <c r="H35" s="9">
        <f t="shared" ref="H35:H38" si="14">D35*100/(3000*L35/1000)</f>
        <v>2.1862681114143503</v>
      </c>
      <c r="I35" s="6">
        <v>11</v>
      </c>
      <c r="J35" s="6">
        <v>0.85</v>
      </c>
      <c r="K35" s="6">
        <v>5000</v>
      </c>
      <c r="L35" s="6">
        <v>1280</v>
      </c>
      <c r="M35" s="6">
        <v>44.7</v>
      </c>
      <c r="N35" s="6">
        <f>$N34</f>
        <v>1.865</v>
      </c>
      <c r="O35" s="6">
        <f t="shared" si="12"/>
        <v>83.365500000000011</v>
      </c>
      <c r="P35" s="10">
        <f t="shared" ref="P35:P37" si="15">((H35/100)*K35*L35)/I35*J35</f>
        <v>10812.089569176424</v>
      </c>
      <c r="Q35" s="9">
        <f>(21.37+(C35/(E35*F35))*((0.0037*G35)+(0.0000601*P35)-(0.00362*O35)))</f>
        <v>33.023653927534681</v>
      </c>
      <c r="R35" s="11">
        <f t="shared" si="13"/>
        <v>4.7123608908096699E-2</v>
      </c>
    </row>
    <row r="36" spans="1:18" ht="16.25" customHeight="1">
      <c r="A36" s="6" t="s">
        <v>71</v>
      </c>
      <c r="B36" s="7">
        <v>5.9616691607432344</v>
      </c>
      <c r="C36" s="7">
        <v>404.0293333333334</v>
      </c>
      <c r="D36" s="8">
        <v>60.416034696203269</v>
      </c>
      <c r="E36" s="8">
        <v>24.987632508833922</v>
      </c>
      <c r="F36" s="6">
        <v>0.9</v>
      </c>
      <c r="G36" s="9">
        <f>$G35</f>
        <v>52.369333333333337</v>
      </c>
      <c r="H36" s="9">
        <f t="shared" si="14"/>
        <v>1.5983077961958536</v>
      </c>
      <c r="I36" s="6">
        <v>11</v>
      </c>
      <c r="J36" s="6">
        <v>0.85</v>
      </c>
      <c r="K36" s="6">
        <v>5000</v>
      </c>
      <c r="L36" s="6">
        <v>1260</v>
      </c>
      <c r="M36" s="6">
        <v>44.7</v>
      </c>
      <c r="N36" s="6">
        <f>$N35</f>
        <v>1.865</v>
      </c>
      <c r="O36" s="6">
        <f t="shared" si="12"/>
        <v>83.365500000000011</v>
      </c>
      <c r="P36" s="10">
        <f t="shared" si="15"/>
        <v>7780.8529532989041</v>
      </c>
      <c r="Q36" s="9">
        <f>(21.37+(C36/(E36*F36))*((0.0037*G36)+(0.0000601*P36)-(0.00362*O36)))</f>
        <v>27.830710498433067</v>
      </c>
      <c r="R36" s="11">
        <f t="shared" si="13"/>
        <v>3.9713458723873177E-2</v>
      </c>
    </row>
    <row r="37" spans="1:18" ht="16.25" customHeight="1">
      <c r="A37" s="6" t="s">
        <v>69</v>
      </c>
      <c r="B37" s="7">
        <v>3.9091590019435554</v>
      </c>
      <c r="C37" s="7">
        <v>429.78348780487795</v>
      </c>
      <c r="D37" s="8">
        <v>71.852260826780551</v>
      </c>
      <c r="E37" s="8">
        <v>21.217898832684824</v>
      </c>
      <c r="F37" s="6">
        <v>0.9</v>
      </c>
      <c r="G37" s="9">
        <f>$G36</f>
        <v>52.369333333333337</v>
      </c>
      <c r="H37" s="9">
        <f t="shared" si="14"/>
        <v>1.8566475665834767</v>
      </c>
      <c r="I37" s="6">
        <v>11</v>
      </c>
      <c r="J37" s="6">
        <v>0.85</v>
      </c>
      <c r="K37" s="6">
        <v>5000</v>
      </c>
      <c r="L37" s="6">
        <v>1290</v>
      </c>
      <c r="M37" s="6">
        <v>44.7</v>
      </c>
      <c r="N37" s="6">
        <f>$N36</f>
        <v>1.865</v>
      </c>
      <c r="O37" s="6">
        <f t="shared" si="12"/>
        <v>83.365500000000011</v>
      </c>
      <c r="P37" s="10">
        <f t="shared" si="15"/>
        <v>9253.7002579944638</v>
      </c>
      <c r="Q37" s="9">
        <f>(21.37+(C37/(E37*F37))*((0.0037*G37)+(0.0000601*P37)-(0.00362*O37)))</f>
        <v>31.455783576420547</v>
      </c>
      <c r="R37" s="11">
        <f t="shared" si="13"/>
        <v>4.488631229014433E-2</v>
      </c>
    </row>
    <row r="38" spans="1:18" ht="16.25" customHeight="1">
      <c r="A38" s="6" t="s">
        <v>68</v>
      </c>
      <c r="B38" s="7">
        <v>4.2081757113619851</v>
      </c>
      <c r="C38" s="7">
        <v>444.43276470588233</v>
      </c>
      <c r="D38" s="8">
        <v>81.849646872848766</v>
      </c>
      <c r="E38" s="8">
        <v>21.776923076923076</v>
      </c>
      <c r="F38" s="6">
        <v>0.9</v>
      </c>
      <c r="G38" s="9">
        <f>$G37</f>
        <v>52.369333333333337</v>
      </c>
      <c r="H38" s="9">
        <f t="shared" si="14"/>
        <v>2.1149779553707688</v>
      </c>
      <c r="I38" s="6">
        <v>11</v>
      </c>
      <c r="J38" s="6">
        <v>0.85</v>
      </c>
      <c r="K38" s="6">
        <v>5000</v>
      </c>
      <c r="L38" s="6">
        <v>1290</v>
      </c>
      <c r="M38" s="6">
        <v>44.7</v>
      </c>
      <c r="N38" s="6">
        <f>$N37</f>
        <v>1.865</v>
      </c>
      <c r="O38" s="6">
        <f t="shared" si="12"/>
        <v>83.365500000000011</v>
      </c>
      <c r="P38" s="10">
        <f>((H38/100)*K38*L38)/I38*J38</f>
        <v>10541.242400291127</v>
      </c>
      <c r="Q38" s="9">
        <f>(21.37+(C38/(E38*F38))*((0.0037*G38)+(0.0000601*P38)-(0.00362*O38)))</f>
        <v>33.286528485329427</v>
      </c>
      <c r="R38" s="11">
        <f t="shared" si="13"/>
        <v>4.7498721785690173E-2</v>
      </c>
    </row>
    <row r="39" spans="1:18" ht="14.25" customHeight="1">
      <c r="D39" s="19"/>
      <c r="F39" s="19"/>
      <c r="P39" s="16" t="s">
        <v>59</v>
      </c>
      <c r="Q39" s="17">
        <f>AVERAGE(Q34:Q38)</f>
        <v>30.47996623297221</v>
      </c>
      <c r="R39" s="18">
        <f>AVERAGE(R34:R38)</f>
        <v>4.3493854781980576E-2</v>
      </c>
    </row>
    <row r="41" spans="1:18" ht="16.25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18" ht="45.5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82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8" ht="16.25" customHeight="1">
      <c r="A43" s="6" t="s">
        <v>70</v>
      </c>
      <c r="B43" s="7">
        <v>3.0342151186663395</v>
      </c>
      <c r="C43" s="7">
        <v>435.06482926829256</v>
      </c>
      <c r="D43" s="8">
        <v>50.286498965213497</v>
      </c>
      <c r="E43" s="8">
        <v>25.020034843205575</v>
      </c>
      <c r="F43" s="6">
        <v>0.9</v>
      </c>
      <c r="G43" s="9">
        <f>'Summary N2O from residue'!H13*1000</f>
        <v>53.716444444444434</v>
      </c>
      <c r="H43" s="9">
        <f>D43*100/(3000*L43/1000)</f>
        <v>1.223515789907871</v>
      </c>
      <c r="I43" s="6">
        <v>11</v>
      </c>
      <c r="J43" s="6">
        <v>0.85</v>
      </c>
      <c r="K43" s="6">
        <v>5000</v>
      </c>
      <c r="L43" s="6">
        <v>1370</v>
      </c>
      <c r="M43" s="6">
        <v>44.7</v>
      </c>
      <c r="N43" s="6">
        <f>N34</f>
        <v>1.865</v>
      </c>
      <c r="O43" s="6">
        <f t="shared" ref="O43:O47" si="16">M43*N43</f>
        <v>83.365500000000011</v>
      </c>
      <c r="P43" s="10">
        <f>((H43/100)*K43*L43)/I43*J43</f>
        <v>6476.2915333987085</v>
      </c>
      <c r="Q43" s="9">
        <f>(21.37+(C43/(E43*F43))*((0.0037*G43)+(0.0000601*P43)-(0.00362*O43)))</f>
        <v>26.899455211946506</v>
      </c>
      <c r="R43" s="11">
        <f t="shared" ref="R43:R47" si="17">(44/28)*0.0075*(14/62)*Q43/N43</f>
        <v>3.8384589725600389E-2</v>
      </c>
    </row>
    <row r="44" spans="1:18" ht="16.25" customHeight="1">
      <c r="A44" s="6" t="s">
        <v>75</v>
      </c>
      <c r="B44" s="7">
        <v>2.5987608442427721</v>
      </c>
      <c r="C44" s="7">
        <v>451.58139759036135</v>
      </c>
      <c r="D44" s="8">
        <v>83.952695478311057</v>
      </c>
      <c r="E44" s="8">
        <v>23.327188940092167</v>
      </c>
      <c r="F44" s="6">
        <v>0.9</v>
      </c>
      <c r="G44" s="9">
        <f>$G43</f>
        <v>53.716444444444434</v>
      </c>
      <c r="H44" s="9">
        <f t="shared" ref="H44:H47" si="18">D44*100/(3000*L44/1000)</f>
        <v>2.1862681114143503</v>
      </c>
      <c r="I44" s="6">
        <v>11</v>
      </c>
      <c r="J44" s="6">
        <v>0.85</v>
      </c>
      <c r="K44" s="6">
        <v>5000</v>
      </c>
      <c r="L44" s="6">
        <v>1280</v>
      </c>
      <c r="M44" s="6">
        <v>44.7</v>
      </c>
      <c r="N44" s="6">
        <f>$N43</f>
        <v>1.865</v>
      </c>
      <c r="O44" s="6">
        <f t="shared" si="16"/>
        <v>83.365500000000011</v>
      </c>
      <c r="P44" s="10">
        <f t="shared" ref="P44:P46" si="19">((H44/100)*K44*L44)/I44*J44</f>
        <v>10812.089569176424</v>
      </c>
      <c r="Q44" s="9">
        <f>(21.37+(C44/(E44*F44))*((0.0037*G44)+(0.0000601*P44)-(0.00362*O44)))</f>
        <v>33.130864167785575</v>
      </c>
      <c r="R44" s="11">
        <f t="shared" si="17"/>
        <v>4.7276594202928464E-2</v>
      </c>
    </row>
    <row r="45" spans="1:18" ht="16.25" customHeight="1">
      <c r="A45" s="6" t="s">
        <v>71</v>
      </c>
      <c r="B45" s="7">
        <v>5.9616691607432344</v>
      </c>
      <c r="C45" s="7">
        <v>404.0293333333334</v>
      </c>
      <c r="D45" s="8">
        <v>60.416034696203269</v>
      </c>
      <c r="E45" s="8">
        <v>24.987632508833922</v>
      </c>
      <c r="F45" s="6">
        <v>0.9</v>
      </c>
      <c r="G45" s="9">
        <f>$G44</f>
        <v>53.716444444444434</v>
      </c>
      <c r="H45" s="9">
        <f t="shared" si="18"/>
        <v>1.5983077961958536</v>
      </c>
      <c r="I45" s="6">
        <v>11</v>
      </c>
      <c r="J45" s="6">
        <v>0.85</v>
      </c>
      <c r="K45" s="6">
        <v>5000</v>
      </c>
      <c r="L45" s="6">
        <v>1260</v>
      </c>
      <c r="M45" s="6">
        <v>44.7</v>
      </c>
      <c r="N45" s="6">
        <f>$N44</f>
        <v>1.865</v>
      </c>
      <c r="O45" s="6">
        <f t="shared" si="16"/>
        <v>83.365500000000011</v>
      </c>
      <c r="P45" s="10">
        <f t="shared" si="19"/>
        <v>7780.8529532989041</v>
      </c>
      <c r="Q45" s="9">
        <f>(21.37+(C45/(E45*F45))*((0.0037*G45)+(0.0000601*P45)-(0.00362*O45)))</f>
        <v>27.920257370365555</v>
      </c>
      <c r="R45" s="11">
        <f t="shared" si="17"/>
        <v>3.9841239004672797E-2</v>
      </c>
    </row>
    <row r="46" spans="1:18" ht="16.25" customHeight="1">
      <c r="A46" s="6" t="s">
        <v>69</v>
      </c>
      <c r="B46" s="7">
        <v>3.9091590019435554</v>
      </c>
      <c r="C46" s="7">
        <v>429.78348780487795</v>
      </c>
      <c r="D46" s="8">
        <v>71.852260826780551</v>
      </c>
      <c r="E46" s="8">
        <v>21.217898832684824</v>
      </c>
      <c r="F46" s="6">
        <v>0.9</v>
      </c>
      <c r="G46" s="9">
        <f>$G45</f>
        <v>53.716444444444434</v>
      </c>
      <c r="H46" s="9">
        <f t="shared" si="18"/>
        <v>1.8566475665834767</v>
      </c>
      <c r="I46" s="6">
        <v>11</v>
      </c>
      <c r="J46" s="6">
        <v>0.85</v>
      </c>
      <c r="K46" s="6">
        <v>5000</v>
      </c>
      <c r="L46" s="6">
        <v>1290</v>
      </c>
      <c r="M46" s="6">
        <v>44.7</v>
      </c>
      <c r="N46" s="6">
        <f>$N45</f>
        <v>1.865</v>
      </c>
      <c r="O46" s="6">
        <f t="shared" si="16"/>
        <v>83.365500000000011</v>
      </c>
      <c r="P46" s="10">
        <f t="shared" si="19"/>
        <v>9253.7002579944638</v>
      </c>
      <c r="Q46" s="9">
        <f>(21.37+(C46/(E46*F46))*((0.0037*G46)+(0.0000601*P46)-(0.00362*O46)))</f>
        <v>31.567962168368901</v>
      </c>
      <c r="R46" s="11">
        <f t="shared" si="17"/>
        <v>4.504638725054802E-2</v>
      </c>
    </row>
    <row r="47" spans="1:18" ht="16.25" customHeight="1">
      <c r="A47" s="6" t="s">
        <v>68</v>
      </c>
      <c r="B47" s="7">
        <v>4.2081757113619851</v>
      </c>
      <c r="C47" s="7">
        <v>444.43276470588233</v>
      </c>
      <c r="D47" s="8">
        <v>81.849646872848766</v>
      </c>
      <c r="E47" s="8">
        <v>21.776923076923076</v>
      </c>
      <c r="F47" s="6">
        <v>0.9</v>
      </c>
      <c r="G47" s="9">
        <f>$G46</f>
        <v>53.716444444444434</v>
      </c>
      <c r="H47" s="9">
        <f t="shared" si="18"/>
        <v>2.1149779553707688</v>
      </c>
      <c r="I47" s="6">
        <v>11</v>
      </c>
      <c r="J47" s="6">
        <v>0.85</v>
      </c>
      <c r="K47" s="6">
        <v>5000</v>
      </c>
      <c r="L47" s="6">
        <v>1290</v>
      </c>
      <c r="M47" s="6">
        <v>44.7</v>
      </c>
      <c r="N47" s="6">
        <f>$N46</f>
        <v>1.865</v>
      </c>
      <c r="O47" s="6">
        <f t="shared" si="16"/>
        <v>83.365500000000011</v>
      </c>
      <c r="P47" s="10">
        <f>((H47/100)*K47*L47)/I47*J47</f>
        <v>10541.242400291127</v>
      </c>
      <c r="Q47" s="9">
        <f>(21.37+(C47/(E47*F47))*((0.0037*G47)+(0.0000601*P47)-(0.00362*O47)))</f>
        <v>33.399552878651178</v>
      </c>
      <c r="R47" s="11">
        <f t="shared" si="17"/>
        <v>4.7660003675321659E-2</v>
      </c>
    </row>
    <row r="48" spans="1:18" ht="14.25" customHeight="1">
      <c r="D48" s="19"/>
      <c r="F48" s="19"/>
      <c r="P48" s="16" t="s">
        <v>59</v>
      </c>
      <c r="Q48" s="17">
        <f>AVERAGE(Q43:Q47)</f>
        <v>30.583618359423543</v>
      </c>
      <c r="R48" s="18">
        <f>AVERAGE(R43:R47)</f>
        <v>4.3641762771814266E-2</v>
      </c>
    </row>
    <row r="50" spans="1:18" ht="16.25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45.5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82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8" ht="16.25" customHeight="1">
      <c r="A52" s="6" t="s">
        <v>70</v>
      </c>
      <c r="B52" s="7">
        <v>3.0342151186663395</v>
      </c>
      <c r="C52" s="7">
        <v>435.06482926829256</v>
      </c>
      <c r="D52" s="8">
        <v>50.286498965213497</v>
      </c>
      <c r="E52" s="8">
        <v>25.020034843205575</v>
      </c>
      <c r="F52" s="6">
        <v>0.9</v>
      </c>
      <c r="G52" s="9">
        <f>'Summary N2O from residue'!H14*1000</f>
        <v>63.920888888888889</v>
      </c>
      <c r="H52" s="9">
        <f>D52*100/(3000*L52/1000)</f>
        <v>1.223515789907871</v>
      </c>
      <c r="I52" s="6">
        <v>11</v>
      </c>
      <c r="J52" s="6">
        <v>0.85</v>
      </c>
      <c r="K52" s="6">
        <v>5000</v>
      </c>
      <c r="L52" s="6">
        <v>1370</v>
      </c>
      <c r="M52" s="6">
        <v>44.7</v>
      </c>
      <c r="N52" s="6">
        <f>N43</f>
        <v>1.865</v>
      </c>
      <c r="O52" s="6">
        <f t="shared" ref="O52:O56" si="20">M52*N52</f>
        <v>83.365500000000011</v>
      </c>
      <c r="P52" s="10">
        <f>((H52/100)*K52*L52)/I52*J52</f>
        <v>6476.2915333987085</v>
      </c>
      <c r="Q52" s="9">
        <f>(21.37+(C52/(E52*F52))*((0.0037*G52)+(0.0000601*P52)-(0.00362*O52)))</f>
        <v>27.628937323157732</v>
      </c>
      <c r="R52" s="11">
        <f t="shared" ref="R52:R56" si="21">(44/28)*0.0075*(14/62)*Q52/N52</f>
        <v>3.9425535400164538E-2</v>
      </c>
    </row>
    <row r="53" spans="1:18" ht="16.25" customHeight="1">
      <c r="A53" s="6" t="s">
        <v>75</v>
      </c>
      <c r="B53" s="7">
        <v>2.5987608442427721</v>
      </c>
      <c r="C53" s="7">
        <v>451.58139759036135</v>
      </c>
      <c r="D53" s="8">
        <v>83.952695478311057</v>
      </c>
      <c r="E53" s="8">
        <v>23.327188940092167</v>
      </c>
      <c r="F53" s="6">
        <v>0.9</v>
      </c>
      <c r="G53" s="9">
        <f>G52</f>
        <v>63.920888888888889</v>
      </c>
      <c r="H53" s="9">
        <f t="shared" ref="H53:H56" si="22">D53*100/(3000*L53/1000)</f>
        <v>2.1862681114143503</v>
      </c>
      <c r="I53" s="6">
        <v>11</v>
      </c>
      <c r="J53" s="6">
        <v>0.85</v>
      </c>
      <c r="K53" s="6">
        <v>5000</v>
      </c>
      <c r="L53" s="6">
        <v>1280</v>
      </c>
      <c r="M53" s="6">
        <v>44.7</v>
      </c>
      <c r="N53" s="6">
        <f>$N52</f>
        <v>1.865</v>
      </c>
      <c r="O53" s="6">
        <f t="shared" si="20"/>
        <v>83.365500000000011</v>
      </c>
      <c r="P53" s="10">
        <f t="shared" ref="P53:P55" si="23">((H53/100)*K53*L53)/I53*J53</f>
        <v>10812.089569176424</v>
      </c>
      <c r="Q53" s="9">
        <f>(21.37+(C53/(E53*F53))*((0.0037*G53)+(0.0000601*P53)-(0.00362*O53)))</f>
        <v>33.942987927653768</v>
      </c>
      <c r="R53" s="11">
        <f t="shared" si="21"/>
        <v>4.8435466644148321E-2</v>
      </c>
    </row>
    <row r="54" spans="1:18" ht="16.25" customHeight="1">
      <c r="A54" s="6" t="s">
        <v>71</v>
      </c>
      <c r="B54" s="7">
        <v>5.9616691607432344</v>
      </c>
      <c r="C54" s="7">
        <v>404.0293333333334</v>
      </c>
      <c r="D54" s="8">
        <v>60.416034696203269</v>
      </c>
      <c r="E54" s="8">
        <v>24.987632508833922</v>
      </c>
      <c r="F54" s="6">
        <v>0.9</v>
      </c>
      <c r="G54" s="9">
        <f>$G53</f>
        <v>63.920888888888889</v>
      </c>
      <c r="H54" s="9">
        <f t="shared" si="22"/>
        <v>1.5983077961958536</v>
      </c>
      <c r="I54" s="6">
        <v>11</v>
      </c>
      <c r="J54" s="6">
        <v>0.85</v>
      </c>
      <c r="K54" s="6">
        <v>5000</v>
      </c>
      <c r="L54" s="6">
        <v>1260</v>
      </c>
      <c r="M54" s="6">
        <v>44.7</v>
      </c>
      <c r="N54" s="6">
        <f>$N53</f>
        <v>1.865</v>
      </c>
      <c r="O54" s="6">
        <f t="shared" si="20"/>
        <v>83.365500000000011</v>
      </c>
      <c r="P54" s="10">
        <f t="shared" si="23"/>
        <v>7780.8529532989041</v>
      </c>
      <c r="Q54" s="9">
        <f>(21.37+(C54/(E54*F54))*((0.0037*G54)+(0.0000601*P54)-(0.00362*O54)))</f>
        <v>28.598580095396869</v>
      </c>
      <c r="R54" s="11">
        <f t="shared" si="21"/>
        <v>4.0809182009344309E-2</v>
      </c>
    </row>
    <row r="55" spans="1:18" ht="16.25" customHeight="1">
      <c r="A55" s="6" t="s">
        <v>69</v>
      </c>
      <c r="B55" s="7">
        <v>3.9091590019435554</v>
      </c>
      <c r="C55" s="7">
        <v>429.78348780487795</v>
      </c>
      <c r="D55" s="8">
        <v>71.852260826780551</v>
      </c>
      <c r="E55" s="8">
        <v>21.217898832684824</v>
      </c>
      <c r="F55" s="6">
        <v>0.9</v>
      </c>
      <c r="G55" s="9">
        <f>$G54</f>
        <v>63.920888888888889</v>
      </c>
      <c r="H55" s="9">
        <f t="shared" si="22"/>
        <v>1.8566475665834767</v>
      </c>
      <c r="I55" s="6">
        <v>11</v>
      </c>
      <c r="J55" s="6">
        <v>0.85</v>
      </c>
      <c r="K55" s="6">
        <v>5000</v>
      </c>
      <c r="L55" s="6">
        <v>1290</v>
      </c>
      <c r="M55" s="6">
        <v>44.7</v>
      </c>
      <c r="N55" s="6">
        <f>$N54</f>
        <v>1.865</v>
      </c>
      <c r="O55" s="6">
        <f t="shared" si="20"/>
        <v>83.365500000000011</v>
      </c>
      <c r="P55" s="10">
        <f t="shared" si="23"/>
        <v>9253.7002579944638</v>
      </c>
      <c r="Q55" s="9">
        <f>(21.37+(C55/(E55*F55))*((0.0037*G55)+(0.0000601*P55)-(0.00362*O55)))</f>
        <v>32.417721479201717</v>
      </c>
      <c r="R55" s="11">
        <f t="shared" si="21"/>
        <v>4.6258964317809237E-2</v>
      </c>
    </row>
    <row r="56" spans="1:18" ht="16.25" customHeight="1">
      <c r="A56" s="6" t="s">
        <v>68</v>
      </c>
      <c r="B56" s="7">
        <v>4.2081757113619851</v>
      </c>
      <c r="C56" s="7">
        <v>444.43276470588233</v>
      </c>
      <c r="D56" s="8">
        <v>81.849646872848766</v>
      </c>
      <c r="E56" s="8">
        <v>21.776923076923076</v>
      </c>
      <c r="F56" s="6">
        <v>0.9</v>
      </c>
      <c r="G56" s="9">
        <f>$G55</f>
        <v>63.920888888888889</v>
      </c>
      <c r="H56" s="9">
        <f t="shared" si="22"/>
        <v>2.1149779553707688</v>
      </c>
      <c r="I56" s="6">
        <v>11</v>
      </c>
      <c r="J56" s="6">
        <v>0.85</v>
      </c>
      <c r="K56" s="6">
        <v>5000</v>
      </c>
      <c r="L56" s="6">
        <v>1290</v>
      </c>
      <c r="M56" s="6">
        <v>44.7</v>
      </c>
      <c r="N56" s="6">
        <f>$N55</f>
        <v>1.865</v>
      </c>
      <c r="O56" s="6">
        <f t="shared" si="20"/>
        <v>83.365500000000011</v>
      </c>
      <c r="P56" s="10">
        <f>((H56/100)*K56*L56)/I56*J56</f>
        <v>10541.242400291127</v>
      </c>
      <c r="Q56" s="9">
        <f>(21.37+(C56/(E56*F56))*((0.0037*G56)+(0.0000601*P56)-(0.00362*O56)))</f>
        <v>34.255719183721283</v>
      </c>
      <c r="R56" s="11">
        <f t="shared" si="21"/>
        <v>4.8881723301167607E-2</v>
      </c>
    </row>
    <row r="57" spans="1:18" ht="14.25" customHeight="1">
      <c r="D57" s="19"/>
      <c r="F57" s="19"/>
      <c r="P57" s="16" t="s">
        <v>59</v>
      </c>
      <c r="Q57" s="17">
        <f>AVERAGE(Q52:Q56)</f>
        <v>31.368789201826274</v>
      </c>
      <c r="R57" s="18">
        <f>AVERAGE(R52:R56)</f>
        <v>4.4762174334526797E-2</v>
      </c>
    </row>
    <row r="59" spans="1:18" ht="16.25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45.5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82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6.25" customHeight="1">
      <c r="A61" s="6" t="s">
        <v>70</v>
      </c>
      <c r="B61" s="7">
        <v>3.0342151186663395</v>
      </c>
      <c r="C61" s="7">
        <v>435.06482926829256</v>
      </c>
      <c r="D61" s="8">
        <v>50.286498965213497</v>
      </c>
      <c r="E61" s="8">
        <v>25.020034843205575</v>
      </c>
      <c r="F61" s="6">
        <v>0.9</v>
      </c>
      <c r="G61" s="9">
        <f>'Summary N2O from residue'!H15*1000</f>
        <v>74.12533333333333</v>
      </c>
      <c r="H61" s="9">
        <f>D61*100/(3000*L61/1000)</f>
        <v>1.223515789907871</v>
      </c>
      <c r="I61" s="6">
        <v>11</v>
      </c>
      <c r="J61" s="6">
        <v>0.85</v>
      </c>
      <c r="K61" s="6">
        <v>5000</v>
      </c>
      <c r="L61" s="6">
        <v>1370</v>
      </c>
      <c r="M61" s="6">
        <v>44.7</v>
      </c>
      <c r="N61" s="6">
        <f>N52</f>
        <v>1.865</v>
      </c>
      <c r="O61" s="6">
        <f t="shared" ref="O61:O65" si="24">M61*N61</f>
        <v>83.365500000000011</v>
      </c>
      <c r="P61" s="10">
        <f>((H61/100)*K61*L61)/I61*J61</f>
        <v>6476.2915333987085</v>
      </c>
      <c r="Q61" s="9">
        <f>(21.37+(C61/(E61*F61))*((0.0037*G61)+(0.0000601*P61)-(0.00362*O61)))</f>
        <v>28.358419434368958</v>
      </c>
      <c r="R61" s="11">
        <f t="shared" ref="R61:R65" si="25">(44/28)*0.0075*(14/62)*Q61/N61</f>
        <v>4.046648107472868E-2</v>
      </c>
    </row>
    <row r="62" spans="1:18" ht="16.25" customHeight="1">
      <c r="A62" s="6" t="s">
        <v>75</v>
      </c>
      <c r="B62" s="7">
        <v>2.5987608442427721</v>
      </c>
      <c r="C62" s="7">
        <v>451.58139759036135</v>
      </c>
      <c r="D62" s="8">
        <v>83.952695478311057</v>
      </c>
      <c r="E62" s="8">
        <v>23.327188940092167</v>
      </c>
      <c r="F62" s="6">
        <v>0.9</v>
      </c>
      <c r="G62" s="9">
        <f>$G61</f>
        <v>74.12533333333333</v>
      </c>
      <c r="H62" s="9">
        <f t="shared" ref="H62:H65" si="26">D62*100/(3000*L62/1000)</f>
        <v>2.1862681114143503</v>
      </c>
      <c r="I62" s="6">
        <v>11</v>
      </c>
      <c r="J62" s="6">
        <v>0.85</v>
      </c>
      <c r="K62" s="6">
        <v>5000</v>
      </c>
      <c r="L62" s="6">
        <v>1280</v>
      </c>
      <c r="M62" s="6">
        <v>44.7</v>
      </c>
      <c r="N62" s="6">
        <f>$N61</f>
        <v>1.865</v>
      </c>
      <c r="O62" s="6">
        <f t="shared" si="24"/>
        <v>83.365500000000011</v>
      </c>
      <c r="P62" s="10">
        <f t="shared" ref="P62:P64" si="27">((H62/100)*K62*L62)/I62*J62</f>
        <v>10812.089569176424</v>
      </c>
      <c r="Q62" s="9">
        <f>(21.37+(C62/(E62*F62))*((0.0037*G62)+(0.0000601*P62)-(0.00362*O62)))</f>
        <v>34.755111687521961</v>
      </c>
      <c r="R62" s="11">
        <f t="shared" si="25"/>
        <v>4.9594339085368179E-2</v>
      </c>
    </row>
    <row r="63" spans="1:18" ht="16.25" customHeight="1">
      <c r="A63" s="6" t="s">
        <v>71</v>
      </c>
      <c r="B63" s="7">
        <v>5.9616691607432344</v>
      </c>
      <c r="C63" s="7">
        <v>404.0293333333334</v>
      </c>
      <c r="D63" s="8">
        <v>60.416034696203269</v>
      </c>
      <c r="E63" s="8">
        <v>24.987632508833922</v>
      </c>
      <c r="F63" s="6">
        <v>0.9</v>
      </c>
      <c r="G63" s="9">
        <f>$G62</f>
        <v>74.12533333333333</v>
      </c>
      <c r="H63" s="9">
        <f t="shared" si="26"/>
        <v>1.5983077961958536</v>
      </c>
      <c r="I63" s="6">
        <v>11</v>
      </c>
      <c r="J63" s="6">
        <v>0.85</v>
      </c>
      <c r="K63" s="6">
        <v>5000</v>
      </c>
      <c r="L63" s="6">
        <v>1260</v>
      </c>
      <c r="M63" s="6">
        <v>44.7</v>
      </c>
      <c r="N63" s="6">
        <f>$N62</f>
        <v>1.865</v>
      </c>
      <c r="O63" s="6">
        <f t="shared" si="24"/>
        <v>83.365500000000011</v>
      </c>
      <c r="P63" s="10">
        <f t="shared" si="27"/>
        <v>7780.8529532989041</v>
      </c>
      <c r="Q63" s="9">
        <f>(21.37+(C63/(E63*F63))*((0.0037*G63)+(0.0000601*P63)-(0.00362*O63)))</f>
        <v>29.27690282042818</v>
      </c>
      <c r="R63" s="11">
        <f t="shared" si="25"/>
        <v>4.1777125014015822E-2</v>
      </c>
    </row>
    <row r="64" spans="1:18" ht="16.25" customHeight="1">
      <c r="A64" s="6" t="s">
        <v>69</v>
      </c>
      <c r="B64" s="7">
        <v>3.9091590019435554</v>
      </c>
      <c r="C64" s="7">
        <v>429.78348780487795</v>
      </c>
      <c r="D64" s="8">
        <v>71.852260826780551</v>
      </c>
      <c r="E64" s="8">
        <v>21.217898832684824</v>
      </c>
      <c r="F64" s="6">
        <v>0.9</v>
      </c>
      <c r="G64" s="9">
        <f>$G63</f>
        <v>74.12533333333333</v>
      </c>
      <c r="H64" s="9">
        <f t="shared" si="26"/>
        <v>1.8566475665834767</v>
      </c>
      <c r="I64" s="6">
        <v>11</v>
      </c>
      <c r="J64" s="6">
        <v>0.85</v>
      </c>
      <c r="K64" s="6">
        <v>5000</v>
      </c>
      <c r="L64" s="6">
        <v>1290</v>
      </c>
      <c r="M64" s="6">
        <v>44.7</v>
      </c>
      <c r="N64" s="6">
        <f>$N63</f>
        <v>1.865</v>
      </c>
      <c r="O64" s="6">
        <f t="shared" si="24"/>
        <v>83.365500000000011</v>
      </c>
      <c r="P64" s="10">
        <f t="shared" si="27"/>
        <v>9253.7002579944638</v>
      </c>
      <c r="Q64" s="9">
        <f>(21.37+(C64/(E64*F64))*((0.0037*G64)+(0.0000601*P64)-(0.00362*O64)))</f>
        <v>33.26748079003454</v>
      </c>
      <c r="R64" s="11">
        <f t="shared" si="25"/>
        <v>4.7471541385070468E-2</v>
      </c>
    </row>
    <row r="65" spans="1:18" ht="16.25" customHeight="1">
      <c r="A65" s="6" t="s">
        <v>68</v>
      </c>
      <c r="B65" s="7">
        <v>4.2081757113619851</v>
      </c>
      <c r="C65" s="7">
        <v>444.43276470588233</v>
      </c>
      <c r="D65" s="8">
        <v>81.849646872848766</v>
      </c>
      <c r="E65" s="8">
        <v>21.776923076923076</v>
      </c>
      <c r="F65" s="6">
        <v>0.9</v>
      </c>
      <c r="G65" s="9">
        <f>$G64</f>
        <v>74.12533333333333</v>
      </c>
      <c r="H65" s="9">
        <f t="shared" si="26"/>
        <v>2.1149779553707688</v>
      </c>
      <c r="I65" s="6">
        <v>11</v>
      </c>
      <c r="J65" s="6">
        <v>0.85</v>
      </c>
      <c r="K65" s="6">
        <v>5000</v>
      </c>
      <c r="L65" s="6">
        <v>1290</v>
      </c>
      <c r="M65" s="6">
        <v>44.7</v>
      </c>
      <c r="N65" s="6">
        <f>$N64</f>
        <v>1.865</v>
      </c>
      <c r="O65" s="6">
        <f t="shared" si="24"/>
        <v>83.365500000000011</v>
      </c>
      <c r="P65" s="10">
        <f>((H65/100)*K65*L65)/I65*J65</f>
        <v>10541.242400291127</v>
      </c>
      <c r="Q65" s="9">
        <f>(21.37+(C65/(E65*F65))*((0.0037*G65)+(0.0000601*P65)-(0.00362*O65)))</f>
        <v>35.11188548879138</v>
      </c>
      <c r="R65" s="11">
        <f t="shared" si="25"/>
        <v>5.0103442927013554E-2</v>
      </c>
    </row>
    <row r="66" spans="1:18" ht="14.25" customHeight="1">
      <c r="D66" s="19"/>
      <c r="F66" s="19"/>
      <c r="P66" s="16" t="s">
        <v>59</v>
      </c>
      <c r="Q66" s="17">
        <f>AVERAGE(Q61:Q65)</f>
        <v>32.153960044229002</v>
      </c>
      <c r="R66" s="18">
        <f>AVERAGE(R61:R65)</f>
        <v>4.5882585897239342E-2</v>
      </c>
    </row>
    <row r="68" spans="1:18" ht="16.25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8" ht="45.5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82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6.25" customHeight="1">
      <c r="A70" s="6" t="s">
        <v>70</v>
      </c>
      <c r="B70" s="7">
        <v>3.0342151186663395</v>
      </c>
      <c r="C70" s="7">
        <v>435.06482926829256</v>
      </c>
      <c r="D70" s="8">
        <v>50.286498965213497</v>
      </c>
      <c r="E70" s="8">
        <v>25.020034843205575</v>
      </c>
      <c r="F70" s="6">
        <v>0.9</v>
      </c>
      <c r="G70" s="9">
        <f>'Summary N2O from residue'!H16*1000</f>
        <v>75.47244444444442</v>
      </c>
      <c r="H70" s="9">
        <f>D70*100/(3000*L70/1000)</f>
        <v>1.223515789907871</v>
      </c>
      <c r="I70" s="6">
        <v>11</v>
      </c>
      <c r="J70" s="6">
        <v>0.85</v>
      </c>
      <c r="K70" s="6">
        <v>5000</v>
      </c>
      <c r="L70" s="6">
        <v>1370</v>
      </c>
      <c r="M70" s="6">
        <v>44.7</v>
      </c>
      <c r="N70" s="6">
        <f>N61</f>
        <v>1.865</v>
      </c>
      <c r="O70" s="6">
        <f t="shared" ref="O70:O74" si="28">M70*N70</f>
        <v>83.365500000000011</v>
      </c>
      <c r="P70" s="10">
        <f>((H70/100)*K70*L70)/I70*J70</f>
        <v>6476.2915333987085</v>
      </c>
      <c r="Q70" s="9">
        <f>(21.37+(C70/(E70*F70))*((0.0037*G70)+(0.0000601*P70)-(0.00362*O70)))</f>
        <v>28.454719969172142</v>
      </c>
      <c r="R70" s="11">
        <f t="shared" ref="R70:R74" si="29">(44/28)*0.0075*(14/62)*Q70/N70</f>
        <v>4.0603898598230583E-2</v>
      </c>
    </row>
    <row r="71" spans="1:18" ht="16.25" customHeight="1">
      <c r="A71" s="6" t="s">
        <v>75</v>
      </c>
      <c r="B71" s="7">
        <v>2.5987608442427721</v>
      </c>
      <c r="C71" s="7">
        <v>451.58139759036135</v>
      </c>
      <c r="D71" s="8">
        <v>83.952695478311057</v>
      </c>
      <c r="E71" s="8">
        <v>23.327188940092167</v>
      </c>
      <c r="F71" s="6">
        <v>0.9</v>
      </c>
      <c r="G71" s="9">
        <f>$G70</f>
        <v>75.47244444444442</v>
      </c>
      <c r="H71" s="9">
        <f t="shared" ref="H71:H74" si="30">D71*100/(3000*L71/1000)</f>
        <v>2.1862681114143503</v>
      </c>
      <c r="I71" s="6">
        <v>11</v>
      </c>
      <c r="J71" s="6">
        <v>0.85</v>
      </c>
      <c r="K71" s="6">
        <v>5000</v>
      </c>
      <c r="L71" s="6">
        <v>1280</v>
      </c>
      <c r="M71" s="6">
        <v>44.7</v>
      </c>
      <c r="N71" s="6">
        <f>$N70</f>
        <v>1.865</v>
      </c>
      <c r="O71" s="6">
        <f t="shared" si="28"/>
        <v>83.365500000000011</v>
      </c>
      <c r="P71" s="10">
        <f t="shared" ref="P71:P73" si="31">((H71/100)*K71*L71)/I71*J71</f>
        <v>10812.089569176424</v>
      </c>
      <c r="Q71" s="9">
        <f>(21.37+(C71/(E71*F71))*((0.0037*G71)+(0.0000601*P71)-(0.00362*O71)))</f>
        <v>34.862321927772854</v>
      </c>
      <c r="R71" s="11">
        <f t="shared" si="29"/>
        <v>4.9747324380199943E-2</v>
      </c>
    </row>
    <row r="72" spans="1:18" ht="16.25" customHeight="1">
      <c r="A72" s="6" t="s">
        <v>71</v>
      </c>
      <c r="B72" s="7">
        <v>5.9616691607432344</v>
      </c>
      <c r="C72" s="7">
        <v>404.0293333333334</v>
      </c>
      <c r="D72" s="8">
        <v>60.416034696203269</v>
      </c>
      <c r="E72" s="8">
        <v>24.987632508833922</v>
      </c>
      <c r="F72" s="6">
        <v>0.9</v>
      </c>
      <c r="G72" s="9">
        <f>$G71</f>
        <v>75.47244444444442</v>
      </c>
      <c r="H72" s="9">
        <f t="shared" si="30"/>
        <v>1.5983077961958536</v>
      </c>
      <c r="I72" s="6">
        <v>11</v>
      </c>
      <c r="J72" s="6">
        <v>0.85</v>
      </c>
      <c r="K72" s="6">
        <v>5000</v>
      </c>
      <c r="L72" s="6">
        <v>1260</v>
      </c>
      <c r="M72" s="6">
        <v>44.7</v>
      </c>
      <c r="N72" s="6">
        <f>$N71</f>
        <v>1.865</v>
      </c>
      <c r="O72" s="6">
        <f t="shared" si="28"/>
        <v>83.365500000000011</v>
      </c>
      <c r="P72" s="10">
        <f t="shared" si="31"/>
        <v>7780.8529532989041</v>
      </c>
      <c r="Q72" s="9">
        <f>(21.37+(C72/(E72*F72))*((0.0037*G72)+(0.0000601*P72)-(0.00362*O72)))</f>
        <v>29.366449692360668</v>
      </c>
      <c r="R72" s="11">
        <f t="shared" si="29"/>
        <v>4.1904905294815442E-2</v>
      </c>
    </row>
    <row r="73" spans="1:18" ht="16.25" customHeight="1">
      <c r="A73" s="6" t="s">
        <v>69</v>
      </c>
      <c r="B73" s="7">
        <v>3.9091590019435554</v>
      </c>
      <c r="C73" s="7">
        <v>429.78348780487795</v>
      </c>
      <c r="D73" s="8">
        <v>71.852260826780551</v>
      </c>
      <c r="E73" s="8">
        <v>21.217898832684824</v>
      </c>
      <c r="F73" s="6">
        <v>0.9</v>
      </c>
      <c r="G73" s="9">
        <f>$G72</f>
        <v>75.47244444444442</v>
      </c>
      <c r="H73" s="9">
        <f t="shared" si="30"/>
        <v>1.8566475665834767</v>
      </c>
      <c r="I73" s="6">
        <v>11</v>
      </c>
      <c r="J73" s="6">
        <v>0.85</v>
      </c>
      <c r="K73" s="6">
        <v>5000</v>
      </c>
      <c r="L73" s="6">
        <v>1290</v>
      </c>
      <c r="M73" s="6">
        <v>44.7</v>
      </c>
      <c r="N73" s="6">
        <f>$N72</f>
        <v>1.865</v>
      </c>
      <c r="O73" s="6">
        <f t="shared" si="28"/>
        <v>83.365500000000011</v>
      </c>
      <c r="P73" s="10">
        <f t="shared" si="31"/>
        <v>9253.7002579944638</v>
      </c>
      <c r="Q73" s="9">
        <f>(21.37+(C73/(E73*F73))*((0.0037*G73)+(0.0000601*P73)-(0.00362*O73)))</f>
        <v>33.37965938198289</v>
      </c>
      <c r="R73" s="11">
        <f t="shared" si="29"/>
        <v>4.7631616345474151E-2</v>
      </c>
    </row>
    <row r="74" spans="1:18" ht="16.25" customHeight="1">
      <c r="A74" s="6" t="s">
        <v>68</v>
      </c>
      <c r="B74" s="7">
        <v>4.2081757113619851</v>
      </c>
      <c r="C74" s="7">
        <v>444.43276470588233</v>
      </c>
      <c r="D74" s="8">
        <v>81.849646872848766</v>
      </c>
      <c r="E74" s="8">
        <v>21.776923076923076</v>
      </c>
      <c r="F74" s="6">
        <v>0.9</v>
      </c>
      <c r="G74" s="9">
        <f>$G73</f>
        <v>75.47244444444442</v>
      </c>
      <c r="H74" s="9">
        <f t="shared" si="30"/>
        <v>2.1149779553707688</v>
      </c>
      <c r="I74" s="6">
        <v>11</v>
      </c>
      <c r="J74" s="6">
        <v>0.85</v>
      </c>
      <c r="K74" s="6">
        <v>5000</v>
      </c>
      <c r="L74" s="6">
        <v>1290</v>
      </c>
      <c r="M74" s="6">
        <v>44.7</v>
      </c>
      <c r="N74" s="6">
        <f>$N73</f>
        <v>1.865</v>
      </c>
      <c r="O74" s="6">
        <f t="shared" si="28"/>
        <v>83.365500000000011</v>
      </c>
      <c r="P74" s="10">
        <f>((H74/100)*K74*L74)/I74*J74</f>
        <v>10541.242400291127</v>
      </c>
      <c r="Q74" s="9">
        <f>(21.37+(C74/(E74*F74))*((0.0037*G74)+(0.0000601*P74)-(0.00362*O74)))</f>
        <v>35.224909882113131</v>
      </c>
      <c r="R74" s="11">
        <f t="shared" si="29"/>
        <v>5.026472481664504E-2</v>
      </c>
    </row>
    <row r="75" spans="1:18" ht="14.25" customHeight="1">
      <c r="D75" s="19"/>
      <c r="F75" s="19"/>
      <c r="P75" s="16" t="s">
        <v>59</v>
      </c>
      <c r="Q75" s="17">
        <f>AVERAGE(Q70:Q74)</f>
        <v>32.257612170680339</v>
      </c>
      <c r="R75" s="18">
        <f>AVERAGE(R70:R74)</f>
        <v>4.6030493887073025E-2</v>
      </c>
    </row>
    <row r="77" spans="1:18" ht="16.25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8" ht="45.5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82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6.25" customHeight="1">
      <c r="A79" s="6" t="s">
        <v>70</v>
      </c>
      <c r="B79" s="7">
        <v>3.0342151186663395</v>
      </c>
      <c r="C79" s="7">
        <v>435.06482926829256</v>
      </c>
      <c r="D79" s="8">
        <v>50.286498965213497</v>
      </c>
      <c r="E79" s="8">
        <v>25.020034843205575</v>
      </c>
      <c r="F79" s="6">
        <v>0.9</v>
      </c>
      <c r="G79" s="9">
        <f>'Summary N2O from residue'!H17*1000</f>
        <v>85.676888888888868</v>
      </c>
      <c r="H79" s="9">
        <f>D79*100/(3000*L79/1000)</f>
        <v>1.223515789907871</v>
      </c>
      <c r="I79" s="6">
        <v>11</v>
      </c>
      <c r="J79" s="6">
        <v>0.85</v>
      </c>
      <c r="K79" s="6">
        <v>5000</v>
      </c>
      <c r="L79" s="6">
        <v>1370</v>
      </c>
      <c r="M79" s="6">
        <v>44.7</v>
      </c>
      <c r="N79" s="6">
        <f>N70</f>
        <v>1.865</v>
      </c>
      <c r="O79" s="6">
        <f t="shared" ref="O79:O83" si="32">M79*N79</f>
        <v>83.365500000000011</v>
      </c>
      <c r="P79" s="10">
        <f>((H79/100)*K79*L79)/I79*J79</f>
        <v>6476.2915333987085</v>
      </c>
      <c r="Q79" s="9">
        <f>(21.37+(C79/(E79*F79))*((0.0037*G79)+(0.0000601*P79)-(0.00362*O79)))</f>
        <v>29.184202080383368</v>
      </c>
      <c r="R79" s="11">
        <f t="shared" ref="R79:R83" si="33">(44/28)*0.0075*(14/62)*Q79/N79</f>
        <v>4.1644844272794732E-2</v>
      </c>
    </row>
    <row r="80" spans="1:18" ht="16.25" customHeight="1">
      <c r="A80" s="6" t="s">
        <v>75</v>
      </c>
      <c r="B80" s="7">
        <v>2.5987608442427721</v>
      </c>
      <c r="C80" s="7">
        <v>451.58139759036135</v>
      </c>
      <c r="D80" s="8">
        <v>83.952695478311057</v>
      </c>
      <c r="E80" s="8">
        <v>23.327188940092167</v>
      </c>
      <c r="F80" s="6">
        <v>0.9</v>
      </c>
      <c r="G80" s="9">
        <f>$G79</f>
        <v>85.676888888888868</v>
      </c>
      <c r="H80" s="9">
        <f t="shared" ref="H80:H83" si="34">D80*100/(3000*L80/1000)</f>
        <v>2.1862681114143503</v>
      </c>
      <c r="I80" s="6">
        <v>11</v>
      </c>
      <c r="J80" s="6">
        <v>0.85</v>
      </c>
      <c r="K80" s="6">
        <v>5000</v>
      </c>
      <c r="L80" s="6">
        <v>1280</v>
      </c>
      <c r="M80" s="6">
        <v>44.7</v>
      </c>
      <c r="N80" s="6">
        <f>$N79</f>
        <v>1.865</v>
      </c>
      <c r="O80" s="6">
        <f t="shared" si="32"/>
        <v>83.365500000000011</v>
      </c>
      <c r="P80" s="10">
        <f t="shared" ref="P80:P82" si="35">((H80/100)*K80*L80)/I80*J80</f>
        <v>10812.089569176424</v>
      </c>
      <c r="Q80" s="9">
        <f>(21.37+(C80/(E80*F80))*((0.0037*G80)+(0.0000601*P80)-(0.00362*O80)))</f>
        <v>35.674445687641047</v>
      </c>
      <c r="R80" s="11">
        <f t="shared" si="33"/>
        <v>5.0906196821419801E-2</v>
      </c>
    </row>
    <row r="81" spans="1:18" ht="16.25" customHeight="1">
      <c r="A81" s="6" t="s">
        <v>71</v>
      </c>
      <c r="B81" s="7">
        <v>5.9616691607432344</v>
      </c>
      <c r="C81" s="7">
        <v>404.0293333333334</v>
      </c>
      <c r="D81" s="8">
        <v>60.416034696203269</v>
      </c>
      <c r="E81" s="8">
        <v>24.987632508833922</v>
      </c>
      <c r="F81" s="6">
        <v>0.9</v>
      </c>
      <c r="G81" s="9">
        <f>$G80</f>
        <v>85.676888888888868</v>
      </c>
      <c r="H81" s="9">
        <f t="shared" si="34"/>
        <v>1.5983077961958536</v>
      </c>
      <c r="I81" s="6">
        <v>11</v>
      </c>
      <c r="J81" s="6">
        <v>0.85</v>
      </c>
      <c r="K81" s="6">
        <v>5000</v>
      </c>
      <c r="L81" s="6">
        <v>1260</v>
      </c>
      <c r="M81" s="6">
        <v>44.7</v>
      </c>
      <c r="N81" s="6">
        <f>$N80</f>
        <v>1.865</v>
      </c>
      <c r="O81" s="6">
        <f t="shared" si="32"/>
        <v>83.365500000000011</v>
      </c>
      <c r="P81" s="10">
        <f t="shared" si="35"/>
        <v>7780.8529532989041</v>
      </c>
      <c r="Q81" s="9">
        <f>(21.37+(C81/(E81*F81))*((0.0037*G81)+(0.0000601*P81)-(0.00362*O81)))</f>
        <v>30.044772417391982</v>
      </c>
      <c r="R81" s="11">
        <f t="shared" si="33"/>
        <v>4.2872848299486947E-2</v>
      </c>
    </row>
    <row r="82" spans="1:18" ht="16.25" customHeight="1">
      <c r="A82" s="6" t="s">
        <v>69</v>
      </c>
      <c r="B82" s="7">
        <v>3.9091590019435554</v>
      </c>
      <c r="C82" s="7">
        <v>429.78348780487795</v>
      </c>
      <c r="D82" s="8">
        <v>71.852260826780551</v>
      </c>
      <c r="E82" s="8">
        <v>21.217898832684824</v>
      </c>
      <c r="F82" s="6">
        <v>0.9</v>
      </c>
      <c r="G82" s="9">
        <f>$G81</f>
        <v>85.676888888888868</v>
      </c>
      <c r="H82" s="9">
        <f t="shared" si="34"/>
        <v>1.8566475665834767</v>
      </c>
      <c r="I82" s="6">
        <v>11</v>
      </c>
      <c r="J82" s="6">
        <v>0.85</v>
      </c>
      <c r="K82" s="6">
        <v>5000</v>
      </c>
      <c r="L82" s="6">
        <v>1290</v>
      </c>
      <c r="M82" s="6">
        <v>44.7</v>
      </c>
      <c r="N82" s="6">
        <f>$N81</f>
        <v>1.865</v>
      </c>
      <c r="O82" s="6">
        <f t="shared" si="32"/>
        <v>83.365500000000011</v>
      </c>
      <c r="P82" s="10">
        <f t="shared" si="35"/>
        <v>9253.7002579944638</v>
      </c>
      <c r="Q82" s="9">
        <f>(21.37+(C82/(E82*F82))*((0.0037*G82)+(0.0000601*P82)-(0.00362*O82)))</f>
        <v>34.229418692815713</v>
      </c>
      <c r="R82" s="11">
        <f t="shared" si="33"/>
        <v>4.8844193412735375E-2</v>
      </c>
    </row>
    <row r="83" spans="1:18" ht="16.25" customHeight="1">
      <c r="A83" s="6" t="s">
        <v>68</v>
      </c>
      <c r="B83" s="7">
        <v>4.2081757113619851</v>
      </c>
      <c r="C83" s="7">
        <v>444.43276470588233</v>
      </c>
      <c r="D83" s="8">
        <v>81.849646872848766</v>
      </c>
      <c r="E83" s="8">
        <v>21.776923076923076</v>
      </c>
      <c r="F83" s="6">
        <v>0.9</v>
      </c>
      <c r="G83" s="9">
        <f>$G82</f>
        <v>85.676888888888868</v>
      </c>
      <c r="H83" s="9">
        <f t="shared" si="34"/>
        <v>2.1149779553707688</v>
      </c>
      <c r="I83" s="6">
        <v>11</v>
      </c>
      <c r="J83" s="6">
        <v>0.85</v>
      </c>
      <c r="K83" s="6">
        <v>5000</v>
      </c>
      <c r="L83" s="6">
        <v>1290</v>
      </c>
      <c r="M83" s="6">
        <v>44.7</v>
      </c>
      <c r="N83" s="6">
        <f>$N82</f>
        <v>1.865</v>
      </c>
      <c r="O83" s="6">
        <f t="shared" si="32"/>
        <v>83.365500000000011</v>
      </c>
      <c r="P83" s="10">
        <f>((H83/100)*K83*L83)/I83*J83</f>
        <v>10541.242400291127</v>
      </c>
      <c r="Q83" s="9">
        <f>(21.37+(C83/(E83*F83))*((0.0037*G83)+(0.0000601*P83)-(0.00362*O83)))</f>
        <v>36.081076187183228</v>
      </c>
      <c r="R83" s="11">
        <f t="shared" si="33"/>
        <v>5.1486444442490981E-2</v>
      </c>
    </row>
    <row r="84" spans="1:18" ht="14.25" customHeight="1">
      <c r="D84" s="19"/>
      <c r="F84" s="19"/>
      <c r="P84" s="16" t="s">
        <v>59</v>
      </c>
      <c r="Q84" s="17">
        <f>AVERAGE(Q79:Q83)</f>
        <v>33.042783013083067</v>
      </c>
      <c r="R84" s="18">
        <f>AVERAGE(R79:R83)</f>
        <v>4.715090544978557E-2</v>
      </c>
    </row>
    <row r="85" spans="1:18" ht="18" customHeight="1"/>
    <row r="86" spans="1:18" ht="16.25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8" ht="45.5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82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6.25" customHeight="1">
      <c r="A88" s="6" t="s">
        <v>70</v>
      </c>
      <c r="B88" s="7">
        <v>3.0342151186663395</v>
      </c>
      <c r="C88" s="7">
        <v>435.06482926829256</v>
      </c>
      <c r="D88" s="8">
        <v>50.286498965213497</v>
      </c>
      <c r="E88" s="8">
        <v>25.020034843205575</v>
      </c>
      <c r="F88" s="6">
        <v>0.9</v>
      </c>
      <c r="G88" s="9">
        <f>'Summary N2O from residue'!H18*1000</f>
        <v>95.881333333333316</v>
      </c>
      <c r="H88" s="9">
        <f>D88*100/(3000*L88/1000)</f>
        <v>1.223515789907871</v>
      </c>
      <c r="I88" s="6">
        <v>11</v>
      </c>
      <c r="J88" s="6">
        <v>0.85</v>
      </c>
      <c r="K88" s="6">
        <v>5000</v>
      </c>
      <c r="L88" s="6">
        <v>1370</v>
      </c>
      <c r="M88" s="6">
        <v>44.7</v>
      </c>
      <c r="N88" s="6">
        <f>N79</f>
        <v>1.865</v>
      </c>
      <c r="O88" s="6">
        <f t="shared" ref="O88:O92" si="36">M88*N88</f>
        <v>83.365500000000011</v>
      </c>
      <c r="P88" s="10">
        <f>((H88/100)*K88*L88)/I88*J88</f>
        <v>6476.2915333987085</v>
      </c>
      <c r="Q88" s="9">
        <f>(21.37+(C88/(E88*F88))*((0.0037*G88)+(0.0000601*P88)-(0.00362*O88)))</f>
        <v>29.913684191594591</v>
      </c>
      <c r="R88" s="11">
        <f t="shared" ref="R88:R92" si="37">(44/28)*0.0075*(14/62)*Q88/N88</f>
        <v>4.2685789947358874E-2</v>
      </c>
    </row>
    <row r="89" spans="1:18" ht="16.25" customHeight="1">
      <c r="A89" s="6" t="s">
        <v>75</v>
      </c>
      <c r="B89" s="7">
        <v>2.5987608442427721</v>
      </c>
      <c r="C89" s="7">
        <v>451.58139759036135</v>
      </c>
      <c r="D89" s="8">
        <v>83.952695478311057</v>
      </c>
      <c r="E89" s="8">
        <v>23.327188940092167</v>
      </c>
      <c r="F89" s="6">
        <v>0.9</v>
      </c>
      <c r="G89" s="9">
        <f>$G88</f>
        <v>95.881333333333316</v>
      </c>
      <c r="H89" s="9">
        <f t="shared" ref="H89:H92" si="38">D89*100/(3000*L89/1000)</f>
        <v>2.1862681114143503</v>
      </c>
      <c r="I89" s="6">
        <v>11</v>
      </c>
      <c r="J89" s="6">
        <v>0.85</v>
      </c>
      <c r="K89" s="6">
        <v>5000</v>
      </c>
      <c r="L89" s="6">
        <v>1280</v>
      </c>
      <c r="M89" s="6">
        <v>44.7</v>
      </c>
      <c r="N89" s="6">
        <f>$N88</f>
        <v>1.865</v>
      </c>
      <c r="O89" s="6">
        <f t="shared" si="36"/>
        <v>83.365500000000011</v>
      </c>
      <c r="P89" s="10">
        <f t="shared" ref="P89:P91" si="39">((H89/100)*K89*L89)/I89*J89</f>
        <v>10812.089569176424</v>
      </c>
      <c r="Q89" s="9">
        <f>(21.37+(C89/(E89*F89))*((0.0037*G89)+(0.0000601*P89)-(0.00362*O89)))</f>
        <v>36.48656944750924</v>
      </c>
      <c r="R89" s="11">
        <f t="shared" si="37"/>
        <v>5.2065069262639659E-2</v>
      </c>
    </row>
    <row r="90" spans="1:18" ht="16.25" customHeight="1">
      <c r="A90" s="6" t="s">
        <v>71</v>
      </c>
      <c r="B90" s="7">
        <v>5.9616691607432344</v>
      </c>
      <c r="C90" s="7">
        <v>404.0293333333334</v>
      </c>
      <c r="D90" s="8">
        <v>60.416034696203269</v>
      </c>
      <c r="E90" s="8">
        <v>24.987632508833922</v>
      </c>
      <c r="F90" s="6">
        <v>0.9</v>
      </c>
      <c r="G90" s="9">
        <f>$G89</f>
        <v>95.881333333333316</v>
      </c>
      <c r="H90" s="9">
        <f t="shared" si="38"/>
        <v>1.5983077961958536</v>
      </c>
      <c r="I90" s="6">
        <v>11</v>
      </c>
      <c r="J90" s="6">
        <v>0.85</v>
      </c>
      <c r="K90" s="6">
        <v>5000</v>
      </c>
      <c r="L90" s="6">
        <v>1260</v>
      </c>
      <c r="M90" s="6">
        <v>44.7</v>
      </c>
      <c r="N90" s="6">
        <f>$N89</f>
        <v>1.865</v>
      </c>
      <c r="O90" s="6">
        <f t="shared" si="36"/>
        <v>83.365500000000011</v>
      </c>
      <c r="P90" s="10">
        <f t="shared" si="39"/>
        <v>7780.8529532989041</v>
      </c>
      <c r="Q90" s="9">
        <f>(21.37+(C90/(E90*F90))*((0.0037*G90)+(0.0000601*P90)-(0.00362*O90)))</f>
        <v>30.723095142423297</v>
      </c>
      <c r="R90" s="11">
        <f t="shared" si="37"/>
        <v>4.3840791304158459E-2</v>
      </c>
    </row>
    <row r="91" spans="1:18" ht="16.25" customHeight="1">
      <c r="A91" s="6" t="s">
        <v>69</v>
      </c>
      <c r="B91" s="7">
        <v>3.9091590019435554</v>
      </c>
      <c r="C91" s="7">
        <v>429.78348780487795</v>
      </c>
      <c r="D91" s="8">
        <v>71.852260826780551</v>
      </c>
      <c r="E91" s="8">
        <v>21.217898832684824</v>
      </c>
      <c r="F91" s="6">
        <v>0.9</v>
      </c>
      <c r="G91" s="9">
        <f>$G90</f>
        <v>95.881333333333316</v>
      </c>
      <c r="H91" s="9">
        <f t="shared" si="38"/>
        <v>1.8566475665834767</v>
      </c>
      <c r="I91" s="6">
        <v>11</v>
      </c>
      <c r="J91" s="6">
        <v>0.85</v>
      </c>
      <c r="K91" s="6">
        <v>5000</v>
      </c>
      <c r="L91" s="6">
        <v>1290</v>
      </c>
      <c r="M91" s="6">
        <v>44.7</v>
      </c>
      <c r="N91" s="6">
        <f>$N90</f>
        <v>1.865</v>
      </c>
      <c r="O91" s="6">
        <f t="shared" si="36"/>
        <v>83.365500000000011</v>
      </c>
      <c r="P91" s="10">
        <f t="shared" si="39"/>
        <v>9253.7002579944638</v>
      </c>
      <c r="Q91" s="9">
        <f>(21.37+(C91/(E91*F91))*((0.0037*G91)+(0.0000601*P91)-(0.00362*O91)))</f>
        <v>35.079178003648529</v>
      </c>
      <c r="R91" s="11">
        <f t="shared" si="37"/>
        <v>5.0056770479996598E-2</v>
      </c>
    </row>
    <row r="92" spans="1:18" ht="16.25" customHeight="1">
      <c r="A92" s="6" t="s">
        <v>68</v>
      </c>
      <c r="B92" s="7">
        <v>4.2081757113619851</v>
      </c>
      <c r="C92" s="7">
        <v>444.43276470588233</v>
      </c>
      <c r="D92" s="8">
        <v>81.849646872848766</v>
      </c>
      <c r="E92" s="8">
        <v>21.776923076923076</v>
      </c>
      <c r="F92" s="6">
        <v>0.9</v>
      </c>
      <c r="G92" s="9">
        <f>$G91</f>
        <v>95.881333333333316</v>
      </c>
      <c r="H92" s="9">
        <f t="shared" si="38"/>
        <v>2.1149779553707688</v>
      </c>
      <c r="I92" s="6">
        <v>11</v>
      </c>
      <c r="J92" s="6">
        <v>0.85</v>
      </c>
      <c r="K92" s="6">
        <v>5000</v>
      </c>
      <c r="L92" s="6">
        <v>1290</v>
      </c>
      <c r="M92" s="6">
        <v>44.7</v>
      </c>
      <c r="N92" s="6">
        <f>$N91</f>
        <v>1.865</v>
      </c>
      <c r="O92" s="6">
        <f t="shared" si="36"/>
        <v>83.365500000000011</v>
      </c>
      <c r="P92" s="10">
        <f>((H92/100)*K92*L92)/I92*J92</f>
        <v>10541.242400291127</v>
      </c>
      <c r="Q92" s="9">
        <f>(21.37+(C92/(E92*F92))*((0.0037*G92)+(0.0000601*P92)-(0.00362*O92)))</f>
        <v>36.937242492253333</v>
      </c>
      <c r="R92" s="11">
        <f t="shared" si="37"/>
        <v>5.2708164068336928E-2</v>
      </c>
    </row>
    <row r="93" spans="1:18" ht="14.25" customHeight="1">
      <c r="D93" s="19"/>
      <c r="F93" s="19"/>
      <c r="P93" s="16" t="s">
        <v>59</v>
      </c>
      <c r="Q93" s="17">
        <f>AVERAGE(Q88:Q92)</f>
        <v>33.827953855485795</v>
      </c>
      <c r="R93" s="18">
        <f>AVERAGE(R88:R92)</f>
        <v>4.8271317012498108E-2</v>
      </c>
    </row>
  </sheetData>
  <sortState ref="I37:I54">
    <sortCondition ref="I36"/>
  </sortState>
  <mergeCells count="2">
    <mergeCell ref="A2:C2"/>
    <mergeCell ref="A12:C12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3"/>
  <sheetViews>
    <sheetView topLeftCell="H31" zoomScale="85" zoomScaleNormal="85" workbookViewId="0">
      <selection activeCell="L15" sqref="L15"/>
    </sheetView>
  </sheetViews>
  <sheetFormatPr defaultColWidth="16.453125" defaultRowHeight="15.5" customHeight="1"/>
  <cols>
    <col min="1" max="17" width="16.453125" style="1"/>
    <col min="18" max="18" width="20.81640625" style="1" customWidth="1"/>
    <col min="19" max="16384" width="16.453125" style="1"/>
  </cols>
  <sheetData>
    <row r="1" spans="1:18" ht="15.5" customHeight="1">
      <c r="A1" s="1" t="s">
        <v>6</v>
      </c>
    </row>
    <row r="2" spans="1:18" ht="15.5" customHeight="1">
      <c r="A2" s="2" t="s">
        <v>100</v>
      </c>
      <c r="B2" s="2"/>
      <c r="C2" s="2"/>
    </row>
    <row r="4" spans="1:18" ht="45.5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82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18" ht="15.5" customHeight="1">
      <c r="A5" s="6" t="s">
        <v>61</v>
      </c>
      <c r="B5" s="7">
        <v>8.5342185471270451</v>
      </c>
      <c r="C5" s="7">
        <v>423.8413333333333</v>
      </c>
      <c r="D5" s="8">
        <v>51.466952926703897</v>
      </c>
      <c r="E5" s="8">
        <v>11.355704697986576</v>
      </c>
      <c r="F5" s="6">
        <v>0.9</v>
      </c>
      <c r="G5" s="9">
        <v>36.74</v>
      </c>
      <c r="H5" s="9">
        <f>D5*100/(3000*L5/1000)</f>
        <v>1.1996958724173403</v>
      </c>
      <c r="I5" s="6">
        <v>11</v>
      </c>
      <c r="J5" s="6">
        <v>0.85</v>
      </c>
      <c r="K5" s="6">
        <v>5000</v>
      </c>
      <c r="L5" s="6">
        <v>1430</v>
      </c>
      <c r="M5" s="6">
        <v>44.7</v>
      </c>
      <c r="N5" s="6">
        <f>'[1]Crop&amp;input data'!B12</f>
        <v>1.865</v>
      </c>
      <c r="O5" s="6">
        <f t="shared" ref="O5" si="0">M5*N5</f>
        <v>83.365500000000011</v>
      </c>
      <c r="P5" s="10">
        <f>((H5/100)*K5*L5)/I5*J5</f>
        <v>6628.3196951058053</v>
      </c>
      <c r="Q5" s="9">
        <f t="shared" ref="Q5:Q9" si="1">(21.37+(C5/(E5*F5))*((0.0037*G5)+(0.0000601*P5)-(0.00362*O5)))</f>
        <v>31.012757352902959</v>
      </c>
      <c r="R5" s="11">
        <f>(44/28)*0.0075*(14/62)*Q5/N5</f>
        <v>4.4254129233148726E-2</v>
      </c>
    </row>
    <row r="6" spans="1:18" ht="15.5" customHeight="1">
      <c r="A6" s="44" t="s">
        <v>73</v>
      </c>
      <c r="B6" s="7">
        <v>8.9333161865569277</v>
      </c>
      <c r="C6" s="7">
        <v>480.85022222222216</v>
      </c>
      <c r="D6" s="8">
        <v>43.384668252451753</v>
      </c>
      <c r="E6" s="8">
        <v>14.516806722689076</v>
      </c>
      <c r="F6" s="6">
        <v>0.9</v>
      </c>
      <c r="G6" s="9">
        <f>$G5</f>
        <v>36.74</v>
      </c>
      <c r="H6" s="9">
        <f t="shared" ref="H6:H9" si="2">D6*100/(3000*L6/1000)</f>
        <v>1.0329682917250418</v>
      </c>
      <c r="I6" s="6">
        <v>11</v>
      </c>
      <c r="J6" s="6">
        <v>0.85</v>
      </c>
      <c r="K6" s="6">
        <v>5000</v>
      </c>
      <c r="L6" s="6">
        <v>1400</v>
      </c>
      <c r="M6" s="6">
        <v>44.7</v>
      </c>
      <c r="N6" s="6">
        <f>$N5</f>
        <v>1.865</v>
      </c>
      <c r="O6" s="6">
        <f t="shared" ref="O6:O9" si="3">M6*N6</f>
        <v>83.365500000000011</v>
      </c>
      <c r="P6" s="10">
        <f t="shared" ref="P6:P9" si="4">((H6/100)*K6*L6)/I6*J6</f>
        <v>5587.4193961490892</v>
      </c>
      <c r="Q6" s="9">
        <f t="shared" si="1"/>
        <v>27.625180728428887</v>
      </c>
      <c r="R6" s="11">
        <f t="shared" ref="R6:R8" si="5">(44/28)*0.0075*(14/62)*Q6/N6</f>
        <v>3.9420174869763604E-2</v>
      </c>
    </row>
    <row r="7" spans="1:18" ht="15.5" customHeight="1">
      <c r="A7" s="6" t="s">
        <v>62</v>
      </c>
      <c r="B7" s="7">
        <v>9.8491974539919749</v>
      </c>
      <c r="C7" s="7">
        <v>413.15216666666657</v>
      </c>
      <c r="D7" s="8">
        <v>40.264510223317863</v>
      </c>
      <c r="E7" s="8">
        <v>15.6484375</v>
      </c>
      <c r="F7" s="6">
        <v>0.9</v>
      </c>
      <c r="G7" s="9">
        <f>$G6</f>
        <v>36.74</v>
      </c>
      <c r="H7" s="9">
        <f t="shared" si="2"/>
        <v>0.97257271070816087</v>
      </c>
      <c r="I7" s="6">
        <v>11</v>
      </c>
      <c r="J7" s="6">
        <v>0.85</v>
      </c>
      <c r="K7" s="6">
        <v>5000</v>
      </c>
      <c r="L7" s="6">
        <v>1380</v>
      </c>
      <c r="M7" s="6">
        <v>44.7</v>
      </c>
      <c r="N7" s="6">
        <f>$N6</f>
        <v>1.865</v>
      </c>
      <c r="O7" s="6">
        <f t="shared" si="3"/>
        <v>83.365500000000011</v>
      </c>
      <c r="P7" s="10">
        <f t="shared" si="4"/>
        <v>5185.5808620939661</v>
      </c>
      <c r="Q7" s="9">
        <f t="shared" si="1"/>
        <v>25.647389425923173</v>
      </c>
      <c r="R7" s="11">
        <f t="shared" si="5"/>
        <v>3.6597935270062464E-2</v>
      </c>
    </row>
    <row r="8" spans="1:18" ht="15.5" customHeight="1">
      <c r="A8" s="6" t="s">
        <v>63</v>
      </c>
      <c r="B8" s="7">
        <v>11.505836658768759</v>
      </c>
      <c r="C8" s="7">
        <v>569.06975308641972</v>
      </c>
      <c r="D8" s="8">
        <v>51.96490719257541</v>
      </c>
      <c r="E8" s="8">
        <v>20.983333333333334</v>
      </c>
      <c r="F8" s="6">
        <v>0.9</v>
      </c>
      <c r="G8" s="9">
        <f>$G7</f>
        <v>36.74</v>
      </c>
      <c r="H8" s="9">
        <f t="shared" si="2"/>
        <v>1.2643529730553629</v>
      </c>
      <c r="I8" s="6">
        <v>11</v>
      </c>
      <c r="J8" s="6">
        <v>0.85</v>
      </c>
      <c r="K8" s="6">
        <v>5000</v>
      </c>
      <c r="L8" s="6">
        <v>1370</v>
      </c>
      <c r="M8" s="6">
        <v>44.7</v>
      </c>
      <c r="N8" s="6">
        <f>$N7</f>
        <v>1.865</v>
      </c>
      <c r="O8" s="6">
        <f t="shared" si="3"/>
        <v>83.365500000000011</v>
      </c>
      <c r="P8" s="10">
        <f t="shared" si="4"/>
        <v>6692.4501687407719</v>
      </c>
      <c r="Q8" s="9">
        <f t="shared" si="1"/>
        <v>28.49267244915676</v>
      </c>
      <c r="R8" s="11">
        <f t="shared" si="5"/>
        <v>4.0658055470992514E-2</v>
      </c>
    </row>
    <row r="9" spans="1:18" ht="15.5" customHeight="1">
      <c r="A9" s="6" t="s">
        <v>60</v>
      </c>
      <c r="B9" s="7">
        <v>10.245233542558644</v>
      </c>
      <c r="C9" s="7">
        <v>490.63079012345656</v>
      </c>
      <c r="D9" s="8">
        <v>45.813515081206447</v>
      </c>
      <c r="E9" s="8">
        <v>12.806666666666667</v>
      </c>
      <c r="F9" s="6">
        <v>0.9</v>
      </c>
      <c r="G9" s="9">
        <f>$G8</f>
        <v>36.74</v>
      </c>
      <c r="H9" s="9">
        <f t="shared" si="2"/>
        <v>1.1066066444735856</v>
      </c>
      <c r="I9" s="6">
        <v>11</v>
      </c>
      <c r="J9" s="6">
        <v>0.85</v>
      </c>
      <c r="K9" s="6">
        <v>5000</v>
      </c>
      <c r="L9" s="6">
        <v>1380</v>
      </c>
      <c r="M9" s="6">
        <v>44.7</v>
      </c>
      <c r="N9" s="6">
        <f>$N8</f>
        <v>1.865</v>
      </c>
      <c r="O9" s="6">
        <f t="shared" si="3"/>
        <v>83.365500000000011</v>
      </c>
      <c r="P9" s="10">
        <f t="shared" si="4"/>
        <v>5900.2254271250722</v>
      </c>
      <c r="Q9" s="9">
        <f t="shared" si="1"/>
        <v>29.404938544327877</v>
      </c>
      <c r="R9" s="11">
        <f>(44/28)*0.0075*(14/62)*Q9/N9</f>
        <v>4.1959827551795371E-2</v>
      </c>
    </row>
    <row r="10" spans="1:18" ht="14.25" customHeight="1">
      <c r="D10" s="19"/>
      <c r="F10" s="19"/>
      <c r="P10" s="41" t="s">
        <v>59</v>
      </c>
      <c r="Q10" s="42">
        <f>AVERAGE(Q5:Q9)</f>
        <v>28.436587700147932</v>
      </c>
      <c r="R10" s="43">
        <f>AVERAGE(R5:R9)</f>
        <v>4.0578024479152534E-2</v>
      </c>
    </row>
    <row r="11" spans="1:18" ht="15.5" customHeight="1">
      <c r="B11" s="30"/>
      <c r="C11" s="30"/>
      <c r="D11" s="23"/>
      <c r="E11" s="23"/>
      <c r="G11" s="24"/>
      <c r="H11" s="24"/>
      <c r="P11" s="25"/>
      <c r="Q11" s="24"/>
      <c r="R11" s="26"/>
    </row>
    <row r="12" spans="1:18" ht="15.5" customHeight="1">
      <c r="A12" s="21" t="s">
        <v>121</v>
      </c>
      <c r="B12" s="21"/>
      <c r="C12" s="21"/>
      <c r="D12" s="23"/>
      <c r="E12" s="23"/>
    </row>
    <row r="13" spans="1:18" ht="15.5" customHeight="1">
      <c r="A13" s="3"/>
      <c r="B13" s="3"/>
      <c r="C13" s="3"/>
      <c r="D13" s="23"/>
      <c r="E13" s="23"/>
    </row>
    <row r="14" spans="1:18" ht="15.5" customHeight="1">
      <c r="A14" s="22" t="s">
        <v>101</v>
      </c>
      <c r="B14" s="35"/>
      <c r="C14" s="35"/>
      <c r="D14" s="35"/>
      <c r="E14" s="35"/>
      <c r="H14" s="35"/>
      <c r="I14" s="36"/>
      <c r="J14" s="35"/>
      <c r="K14" s="35"/>
      <c r="L14" s="35"/>
      <c r="M14" s="35"/>
      <c r="N14" s="35"/>
      <c r="O14" s="35"/>
      <c r="P14" s="35"/>
      <c r="Q14" s="35"/>
      <c r="R14" s="35"/>
    </row>
    <row r="15" spans="1:18" ht="45.5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82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18" ht="15.5" customHeight="1">
      <c r="A16" s="6" t="s">
        <v>61</v>
      </c>
      <c r="B16" s="7">
        <v>8.5342185471270451</v>
      </c>
      <c r="C16" s="7">
        <v>423.8413333333333</v>
      </c>
      <c r="D16" s="8">
        <v>51.466952926703897</v>
      </c>
      <c r="E16" s="8">
        <v>11.355704697986576</v>
      </c>
      <c r="F16" s="6">
        <v>0.9</v>
      </c>
      <c r="G16" s="9">
        <f>'Summary N2O from residue'!H10*1000</f>
        <v>31.960444444444445</v>
      </c>
      <c r="H16" s="9">
        <f>D16*100/(3000*L16/1000)</f>
        <v>1.1996958724173403</v>
      </c>
      <c r="I16" s="6">
        <v>11</v>
      </c>
      <c r="J16" s="6">
        <v>0.85</v>
      </c>
      <c r="K16" s="6">
        <v>5000</v>
      </c>
      <c r="L16" s="6">
        <v>1430</v>
      </c>
      <c r="M16" s="6">
        <v>44.7</v>
      </c>
      <c r="N16" s="6">
        <f>N5</f>
        <v>1.865</v>
      </c>
      <c r="O16" s="6">
        <f t="shared" ref="O16:O20" si="6">M16*N16</f>
        <v>83.365500000000011</v>
      </c>
      <c r="P16" s="10">
        <f>((H16/100)*K16*L16)/I16*J16</f>
        <v>6628.3196951058053</v>
      </c>
      <c r="Q16" s="9">
        <f t="shared" ref="Q16:Q20" si="7">(21.37+(C16/(E16*F16))*((0.0037*G16)+(0.0000601*P16)-(0.00362*O16)))</f>
        <v>30.279365729030289</v>
      </c>
      <c r="R16" s="11">
        <f>(44/28)*0.0075*(14/62)*Q16/N16</f>
        <v>4.3207604819596956E-2</v>
      </c>
    </row>
    <row r="17" spans="1:18" ht="15.5" customHeight="1">
      <c r="A17" s="44" t="s">
        <v>73</v>
      </c>
      <c r="B17" s="7">
        <v>8.9333161865569277</v>
      </c>
      <c r="C17" s="7">
        <v>480.85022222222216</v>
      </c>
      <c r="D17" s="8">
        <v>43.384668252451753</v>
      </c>
      <c r="E17" s="8">
        <v>14.516806722689076</v>
      </c>
      <c r="F17" s="6">
        <v>0.9</v>
      </c>
      <c r="G17" s="9">
        <f>$G16</f>
        <v>31.960444444444445</v>
      </c>
      <c r="H17" s="9">
        <f t="shared" ref="H17:H20" si="8">D17*100/(3000*L17/1000)</f>
        <v>1.0329682917250418</v>
      </c>
      <c r="I17" s="6">
        <v>11</v>
      </c>
      <c r="J17" s="6">
        <v>0.85</v>
      </c>
      <c r="K17" s="6">
        <v>5000</v>
      </c>
      <c r="L17" s="6">
        <v>1400</v>
      </c>
      <c r="M17" s="6">
        <v>44.7</v>
      </c>
      <c r="N17" s="6">
        <f>$N16</f>
        <v>1.865</v>
      </c>
      <c r="O17" s="6">
        <f t="shared" si="6"/>
        <v>83.365500000000011</v>
      </c>
      <c r="P17" s="10">
        <f t="shared" ref="P17:P20" si="9">((H17/100)*K17*L17)/I17*J17</f>
        <v>5587.4193961490892</v>
      </c>
      <c r="Q17" s="9">
        <f t="shared" si="7"/>
        <v>26.974323915725407</v>
      </c>
      <c r="R17" s="11">
        <f t="shared" ref="R17:R19" si="10">(44/28)*0.0075*(14/62)*Q17/N17</f>
        <v>3.8491424769477568E-2</v>
      </c>
    </row>
    <row r="18" spans="1:18" ht="15.5" customHeight="1">
      <c r="A18" s="6" t="s">
        <v>62</v>
      </c>
      <c r="B18" s="7">
        <v>9.8491974539919749</v>
      </c>
      <c r="C18" s="7">
        <v>413.15216666666657</v>
      </c>
      <c r="D18" s="8">
        <v>40.264510223317863</v>
      </c>
      <c r="E18" s="8">
        <v>15.6484375</v>
      </c>
      <c r="F18" s="6">
        <v>0.9</v>
      </c>
      <c r="G18" s="9">
        <f>$G17</f>
        <v>31.960444444444445</v>
      </c>
      <c r="H18" s="9">
        <f t="shared" si="8"/>
        <v>0.97257271070816087</v>
      </c>
      <c r="I18" s="6">
        <v>11</v>
      </c>
      <c r="J18" s="6">
        <v>0.85</v>
      </c>
      <c r="K18" s="6">
        <v>5000</v>
      </c>
      <c r="L18" s="6">
        <v>1380</v>
      </c>
      <c r="M18" s="6">
        <v>44.7</v>
      </c>
      <c r="N18" s="6">
        <f>$N17</f>
        <v>1.865</v>
      </c>
      <c r="O18" s="6">
        <f t="shared" si="6"/>
        <v>83.365500000000011</v>
      </c>
      <c r="P18" s="10">
        <f t="shared" si="9"/>
        <v>5185.5808620939661</v>
      </c>
      <c r="Q18" s="9">
        <f t="shared" si="7"/>
        <v>25.128606369298758</v>
      </c>
      <c r="R18" s="11">
        <f t="shared" si="10"/>
        <v>3.5857649839438677E-2</v>
      </c>
    </row>
    <row r="19" spans="1:18" ht="15.5" customHeight="1">
      <c r="A19" s="6" t="s">
        <v>63</v>
      </c>
      <c r="B19" s="7">
        <v>11.505836658768759</v>
      </c>
      <c r="C19" s="7">
        <v>569.06975308641972</v>
      </c>
      <c r="D19" s="8">
        <v>51.96490719257541</v>
      </c>
      <c r="E19" s="8">
        <v>20.983333333333334</v>
      </c>
      <c r="F19" s="6">
        <v>0.9</v>
      </c>
      <c r="G19" s="9">
        <f>$G18</f>
        <v>31.960444444444445</v>
      </c>
      <c r="H19" s="9">
        <f t="shared" si="8"/>
        <v>1.2643529730553629</v>
      </c>
      <c r="I19" s="6">
        <v>11</v>
      </c>
      <c r="J19" s="6">
        <v>0.85</v>
      </c>
      <c r="K19" s="6">
        <v>5000</v>
      </c>
      <c r="L19" s="6">
        <v>1370</v>
      </c>
      <c r="M19" s="6">
        <v>44.7</v>
      </c>
      <c r="N19" s="6">
        <f>$N18</f>
        <v>1.865</v>
      </c>
      <c r="O19" s="6">
        <f t="shared" si="6"/>
        <v>83.365500000000011</v>
      </c>
      <c r="P19" s="10">
        <f t="shared" si="9"/>
        <v>6692.4501687407719</v>
      </c>
      <c r="Q19" s="9">
        <f t="shared" si="7"/>
        <v>27.95978222678491</v>
      </c>
      <c r="R19" s="11">
        <f t="shared" si="10"/>
        <v>3.9897639604077745E-2</v>
      </c>
    </row>
    <row r="20" spans="1:18" ht="15.5" customHeight="1">
      <c r="A20" s="6" t="s">
        <v>60</v>
      </c>
      <c r="B20" s="7">
        <v>10.245233542558644</v>
      </c>
      <c r="C20" s="7">
        <v>490.63079012345656</v>
      </c>
      <c r="D20" s="8">
        <v>45.813515081206447</v>
      </c>
      <c r="E20" s="8">
        <v>12.806666666666667</v>
      </c>
      <c r="F20" s="6">
        <v>0.9</v>
      </c>
      <c r="G20" s="9">
        <f>$G19</f>
        <v>31.960444444444445</v>
      </c>
      <c r="H20" s="9">
        <f t="shared" si="8"/>
        <v>1.1066066444735856</v>
      </c>
      <c r="I20" s="6">
        <v>11</v>
      </c>
      <c r="J20" s="6">
        <v>0.85</v>
      </c>
      <c r="K20" s="6">
        <v>5000</v>
      </c>
      <c r="L20" s="6">
        <v>1380</v>
      </c>
      <c r="M20" s="6">
        <v>44.7</v>
      </c>
      <c r="N20" s="6">
        <f>$N19</f>
        <v>1.865</v>
      </c>
      <c r="O20" s="6">
        <f t="shared" si="6"/>
        <v>83.365500000000011</v>
      </c>
      <c r="P20" s="10">
        <f t="shared" si="9"/>
        <v>5900.2254271250722</v>
      </c>
      <c r="Q20" s="9">
        <f t="shared" si="7"/>
        <v>28.652163137504491</v>
      </c>
      <c r="R20" s="11">
        <f>(44/28)*0.0075*(14/62)*Q20/N20</f>
        <v>4.0885643152194416E-2</v>
      </c>
    </row>
    <row r="21" spans="1:18" ht="14.25" customHeight="1">
      <c r="D21" s="19"/>
      <c r="F21" s="19"/>
      <c r="P21" s="41" t="s">
        <v>59</v>
      </c>
      <c r="Q21" s="42">
        <f>AVERAGE(Q16:Q20)</f>
        <v>27.798848275668767</v>
      </c>
      <c r="R21" s="43">
        <f>AVERAGE(R16:R20)</f>
        <v>3.9667992436957074E-2</v>
      </c>
    </row>
    <row r="23" spans="1:18" ht="15.5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45.5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82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8" ht="15.5" customHeight="1">
      <c r="A25" s="6" t="s">
        <v>61</v>
      </c>
      <c r="B25" s="7">
        <v>8.5342185471270451</v>
      </c>
      <c r="C25" s="7">
        <v>423.8413333333333</v>
      </c>
      <c r="D25" s="8">
        <v>51.466952926703897</v>
      </c>
      <c r="E25" s="8">
        <v>11.355704697986576</v>
      </c>
      <c r="F25" s="6">
        <v>0.9</v>
      </c>
      <c r="G25" s="9">
        <f>'Summary N2O from residue'!H11*1000</f>
        <v>42.164888888888889</v>
      </c>
      <c r="H25" s="9">
        <f>D25*100/(3000*L25/1000)</f>
        <v>1.1996958724173403</v>
      </c>
      <c r="I25" s="6">
        <v>11</v>
      </c>
      <c r="J25" s="6">
        <v>0.85</v>
      </c>
      <c r="K25" s="6">
        <v>5000</v>
      </c>
      <c r="L25" s="6">
        <v>1430</v>
      </c>
      <c r="M25" s="6">
        <v>44.7</v>
      </c>
      <c r="N25" s="6">
        <f>N16</f>
        <v>1.865</v>
      </c>
      <c r="O25" s="6">
        <f t="shared" ref="O25:O29" si="11">M25*N25</f>
        <v>83.365500000000011</v>
      </c>
      <c r="P25" s="10">
        <f>((H25/100)*K25*L25)/I25*J25</f>
        <v>6628.3196951058053</v>
      </c>
      <c r="Q25" s="9">
        <f t="shared" ref="Q25:Q29" si="12">(21.37+(C25/(E25*F25))*((0.0037*G25)+(0.0000601*P25)-(0.00362*O25)))</f>
        <v>31.845171167389644</v>
      </c>
      <c r="R25" s="11">
        <f>(44/28)*0.0075*(14/62)*Q25/N25</f>
        <v>4.5441954878658569E-2</v>
      </c>
    </row>
    <row r="26" spans="1:18" ht="15.5" customHeight="1">
      <c r="A26" s="44" t="s">
        <v>73</v>
      </c>
      <c r="B26" s="7">
        <v>8.9333161865569277</v>
      </c>
      <c r="C26" s="7">
        <v>480.85022222222216</v>
      </c>
      <c r="D26" s="8">
        <v>43.384668252451753</v>
      </c>
      <c r="E26" s="8">
        <v>14.516806722689076</v>
      </c>
      <c r="F26" s="6">
        <v>0.9</v>
      </c>
      <c r="G26" s="9">
        <f>$G25</f>
        <v>42.164888888888889</v>
      </c>
      <c r="H26" s="9">
        <f t="shared" ref="H26:H29" si="13">D26*100/(3000*L26/1000)</f>
        <v>1.0329682917250418</v>
      </c>
      <c r="I26" s="6">
        <v>11</v>
      </c>
      <c r="J26" s="6">
        <v>0.85</v>
      </c>
      <c r="K26" s="6">
        <v>5000</v>
      </c>
      <c r="L26" s="6">
        <v>1400</v>
      </c>
      <c r="M26" s="6">
        <v>44.7</v>
      </c>
      <c r="N26" s="6">
        <f>$N25</f>
        <v>1.865</v>
      </c>
      <c r="O26" s="6">
        <f t="shared" si="11"/>
        <v>83.365500000000011</v>
      </c>
      <c r="P26" s="10">
        <f t="shared" ref="P26:P29" si="14">((H26/100)*K26*L26)/I26*J26</f>
        <v>5587.4193961490892</v>
      </c>
      <c r="Q26" s="9">
        <f t="shared" si="12"/>
        <v>28.363915920530307</v>
      </c>
      <c r="R26" s="11">
        <f t="shared" ref="R26:R28" si="15">(44/28)*0.0075*(14/62)*Q26/N26</f>
        <v>4.0474324369865089E-2</v>
      </c>
    </row>
    <row r="27" spans="1:18" ht="15.5" customHeight="1">
      <c r="A27" s="6" t="s">
        <v>62</v>
      </c>
      <c r="B27" s="7">
        <v>9.8491974539919749</v>
      </c>
      <c r="C27" s="7">
        <v>413.15216666666657</v>
      </c>
      <c r="D27" s="8">
        <v>40.264510223317863</v>
      </c>
      <c r="E27" s="8">
        <v>15.6484375</v>
      </c>
      <c r="F27" s="6">
        <v>0.9</v>
      </c>
      <c r="G27" s="9">
        <f>$G26</f>
        <v>42.164888888888889</v>
      </c>
      <c r="H27" s="9">
        <f t="shared" si="13"/>
        <v>0.97257271070816087</v>
      </c>
      <c r="I27" s="6">
        <v>11</v>
      </c>
      <c r="J27" s="6">
        <v>0.85</v>
      </c>
      <c r="K27" s="6">
        <v>5000</v>
      </c>
      <c r="L27" s="6">
        <v>1380</v>
      </c>
      <c r="M27" s="6">
        <v>44.7</v>
      </c>
      <c r="N27" s="6">
        <f>$N26</f>
        <v>1.865</v>
      </c>
      <c r="O27" s="6">
        <f t="shared" si="11"/>
        <v>83.365500000000011</v>
      </c>
      <c r="P27" s="10">
        <f t="shared" si="14"/>
        <v>5185.5808620939661</v>
      </c>
      <c r="Q27" s="9">
        <f t="shared" si="12"/>
        <v>26.236218325789043</v>
      </c>
      <c r="R27" s="11">
        <f t="shared" si="15"/>
        <v>3.7438173689831281E-2</v>
      </c>
    </row>
    <row r="28" spans="1:18" ht="15.5" customHeight="1">
      <c r="A28" s="6" t="s">
        <v>63</v>
      </c>
      <c r="B28" s="7">
        <v>11.505836658768759</v>
      </c>
      <c r="C28" s="7">
        <v>569.06975308641972</v>
      </c>
      <c r="D28" s="8">
        <v>51.96490719257541</v>
      </c>
      <c r="E28" s="8">
        <v>20.983333333333334</v>
      </c>
      <c r="F28" s="6">
        <v>0.9</v>
      </c>
      <c r="G28" s="9">
        <f>$G27</f>
        <v>42.164888888888889</v>
      </c>
      <c r="H28" s="9">
        <f t="shared" si="13"/>
        <v>1.2643529730553629</v>
      </c>
      <c r="I28" s="6">
        <v>11</v>
      </c>
      <c r="J28" s="6">
        <v>0.85</v>
      </c>
      <c r="K28" s="6">
        <v>5000</v>
      </c>
      <c r="L28" s="6">
        <v>1370</v>
      </c>
      <c r="M28" s="6">
        <v>44.7</v>
      </c>
      <c r="N28" s="6">
        <f>$N27</f>
        <v>1.865</v>
      </c>
      <c r="O28" s="6">
        <f t="shared" si="11"/>
        <v>83.365500000000011</v>
      </c>
      <c r="P28" s="10">
        <f t="shared" si="14"/>
        <v>6692.4501687407719</v>
      </c>
      <c r="Q28" s="9">
        <f t="shared" si="12"/>
        <v>29.097513257625319</v>
      </c>
      <c r="R28" s="11">
        <f t="shared" si="15"/>
        <v>4.1521142329051089E-2</v>
      </c>
    </row>
    <row r="29" spans="1:18" ht="15.5" customHeight="1">
      <c r="A29" s="6" t="s">
        <v>60</v>
      </c>
      <c r="B29" s="7">
        <v>10.245233542558644</v>
      </c>
      <c r="C29" s="7">
        <v>490.63079012345656</v>
      </c>
      <c r="D29" s="8">
        <v>45.813515081206447</v>
      </c>
      <c r="E29" s="8">
        <v>12.806666666666667</v>
      </c>
      <c r="F29" s="6">
        <v>0.9</v>
      </c>
      <c r="G29" s="9">
        <f>$G28</f>
        <v>42.164888888888889</v>
      </c>
      <c r="H29" s="9">
        <f t="shared" si="13"/>
        <v>1.1066066444735856</v>
      </c>
      <c r="I29" s="6">
        <v>11</v>
      </c>
      <c r="J29" s="6">
        <v>0.85</v>
      </c>
      <c r="K29" s="6">
        <v>5000</v>
      </c>
      <c r="L29" s="6">
        <v>1380</v>
      </c>
      <c r="M29" s="6">
        <v>44.7</v>
      </c>
      <c r="N29" s="6">
        <f>$N28</f>
        <v>1.865</v>
      </c>
      <c r="O29" s="6">
        <f t="shared" si="11"/>
        <v>83.365500000000011</v>
      </c>
      <c r="P29" s="10">
        <f t="shared" si="14"/>
        <v>5900.2254271250722</v>
      </c>
      <c r="Q29" s="9">
        <f t="shared" si="12"/>
        <v>30.259353330982727</v>
      </c>
      <c r="R29" s="11">
        <f>(44/28)*0.0075*(14/62)*Q29/N29</f>
        <v>4.3179047821604678E-2</v>
      </c>
    </row>
    <row r="30" spans="1:18" ht="14.25" customHeight="1">
      <c r="D30" s="19"/>
      <c r="F30" s="19"/>
      <c r="P30" s="41" t="s">
        <v>59</v>
      </c>
      <c r="Q30" s="42">
        <f>AVERAGE(Q25:Q29)</f>
        <v>29.160434400463409</v>
      </c>
      <c r="R30" s="43">
        <f>AVERAGE(R25:R29)</f>
        <v>4.1610928617802141E-2</v>
      </c>
    </row>
    <row r="32" spans="1:18" ht="15.5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</row>
    <row r="33" spans="1:18" ht="45.5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82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18" ht="15.5" customHeight="1">
      <c r="A34" s="1" t="s">
        <v>61</v>
      </c>
      <c r="B34" s="30">
        <v>8.5342185471270451</v>
      </c>
      <c r="C34" s="30">
        <v>423.8413333333333</v>
      </c>
      <c r="D34" s="23">
        <v>51.466952926703897</v>
      </c>
      <c r="E34" s="23">
        <v>11.355704697986576</v>
      </c>
      <c r="F34" s="1">
        <v>0.9</v>
      </c>
      <c r="G34" s="24">
        <f>'Summary N2O from residue'!H12*1000</f>
        <v>52.369333333333337</v>
      </c>
      <c r="H34" s="24">
        <f>D34*100/(3000*L34/1000)</f>
        <v>1.1996958724173403</v>
      </c>
      <c r="I34" s="1">
        <v>11</v>
      </c>
      <c r="J34" s="1">
        <v>0.85</v>
      </c>
      <c r="K34" s="1">
        <v>5000</v>
      </c>
      <c r="L34" s="1">
        <v>1430</v>
      </c>
      <c r="M34" s="1">
        <v>44.7</v>
      </c>
      <c r="N34" s="1">
        <f>N25</f>
        <v>1.865</v>
      </c>
      <c r="O34" s="1">
        <f t="shared" ref="O34:O38" si="16">M34*N34</f>
        <v>83.365500000000011</v>
      </c>
      <c r="P34" s="25">
        <f>((H34/100)*K34*L34)/I34*J34</f>
        <v>6628.3196951058053</v>
      </c>
      <c r="Q34" s="24">
        <f t="shared" ref="Q34:Q38" si="17">(21.37+(C34/(E34*F34))*((0.0037*G34)+(0.0000601*P34)-(0.00362*O34)))</f>
        <v>33.410976605749006</v>
      </c>
      <c r="R34" s="26">
        <f>(44/28)*0.0075*(14/62)*Q34/N34</f>
        <v>4.7676304937720189E-2</v>
      </c>
    </row>
    <row r="35" spans="1:18" ht="15.5" customHeight="1">
      <c r="A35" s="40" t="s">
        <v>73</v>
      </c>
      <c r="B35" s="30">
        <v>8.9333161865569277</v>
      </c>
      <c r="C35" s="30">
        <v>480.85022222222216</v>
      </c>
      <c r="D35" s="23">
        <v>43.384668252451753</v>
      </c>
      <c r="E35" s="23">
        <v>14.516806722689076</v>
      </c>
      <c r="F35" s="1">
        <v>0.9</v>
      </c>
      <c r="G35" s="24">
        <f>$G34</f>
        <v>52.369333333333337</v>
      </c>
      <c r="H35" s="24">
        <f t="shared" ref="H35:H38" si="18">D35*100/(3000*L35/1000)</f>
        <v>1.0329682917250418</v>
      </c>
      <c r="I35" s="1">
        <v>11</v>
      </c>
      <c r="J35" s="1">
        <v>0.85</v>
      </c>
      <c r="K35" s="1">
        <v>5000</v>
      </c>
      <c r="L35" s="1">
        <v>1400</v>
      </c>
      <c r="M35" s="1">
        <v>44.7</v>
      </c>
      <c r="N35" s="1">
        <f>$N34</f>
        <v>1.865</v>
      </c>
      <c r="O35" s="1">
        <f t="shared" si="16"/>
        <v>83.365500000000011</v>
      </c>
      <c r="P35" s="25">
        <f t="shared" ref="P35:P38" si="19">((H35/100)*K35*L35)/I35*J35</f>
        <v>5587.4193961490892</v>
      </c>
      <c r="Q35" s="24">
        <f t="shared" si="17"/>
        <v>29.75350792533521</v>
      </c>
      <c r="R35" s="26">
        <f t="shared" ref="R35:R37" si="20">(44/28)*0.0075*(14/62)*Q35/N35</f>
        <v>4.2457223970252603E-2</v>
      </c>
    </row>
    <row r="36" spans="1:18" ht="15.5" customHeight="1">
      <c r="A36" s="1" t="s">
        <v>62</v>
      </c>
      <c r="B36" s="30">
        <v>9.8491974539919749</v>
      </c>
      <c r="C36" s="30">
        <v>413.15216666666657</v>
      </c>
      <c r="D36" s="23">
        <v>40.264510223317863</v>
      </c>
      <c r="E36" s="23">
        <v>15.6484375</v>
      </c>
      <c r="F36" s="1">
        <v>0.9</v>
      </c>
      <c r="G36" s="24">
        <f>$G35</f>
        <v>52.369333333333337</v>
      </c>
      <c r="H36" s="24">
        <f t="shared" si="18"/>
        <v>0.97257271070816087</v>
      </c>
      <c r="I36" s="1">
        <v>11</v>
      </c>
      <c r="J36" s="1">
        <v>0.85</v>
      </c>
      <c r="K36" s="1">
        <v>5000</v>
      </c>
      <c r="L36" s="1">
        <v>1380</v>
      </c>
      <c r="M36" s="1">
        <v>44.7</v>
      </c>
      <c r="N36" s="1">
        <f>$N35</f>
        <v>1.865</v>
      </c>
      <c r="O36" s="1">
        <f t="shared" si="16"/>
        <v>83.365500000000011</v>
      </c>
      <c r="P36" s="25">
        <f t="shared" si="19"/>
        <v>5185.5808620939661</v>
      </c>
      <c r="Q36" s="24">
        <f t="shared" si="17"/>
        <v>27.343830282279328</v>
      </c>
      <c r="R36" s="26">
        <f t="shared" si="20"/>
        <v>3.9018697540223884E-2</v>
      </c>
    </row>
    <row r="37" spans="1:18" ht="15.5" customHeight="1">
      <c r="A37" s="1" t="s">
        <v>63</v>
      </c>
      <c r="B37" s="30">
        <v>11.505836658768759</v>
      </c>
      <c r="C37" s="30">
        <v>569.06975308641972</v>
      </c>
      <c r="D37" s="23">
        <v>51.96490719257541</v>
      </c>
      <c r="E37" s="23">
        <v>20.983333333333334</v>
      </c>
      <c r="F37" s="1">
        <v>0.9</v>
      </c>
      <c r="G37" s="24">
        <f>$G36</f>
        <v>52.369333333333337</v>
      </c>
      <c r="H37" s="24">
        <f t="shared" si="18"/>
        <v>1.2643529730553629</v>
      </c>
      <c r="I37" s="1">
        <v>11</v>
      </c>
      <c r="J37" s="1">
        <v>0.85</v>
      </c>
      <c r="K37" s="1">
        <v>5000</v>
      </c>
      <c r="L37" s="1">
        <v>1370</v>
      </c>
      <c r="M37" s="1">
        <v>44.7</v>
      </c>
      <c r="N37" s="1">
        <f>$N36</f>
        <v>1.865</v>
      </c>
      <c r="O37" s="1">
        <f t="shared" si="16"/>
        <v>83.365500000000011</v>
      </c>
      <c r="P37" s="25">
        <f t="shared" si="19"/>
        <v>6692.4501687407719</v>
      </c>
      <c r="Q37" s="24">
        <f t="shared" si="17"/>
        <v>30.235244288465726</v>
      </c>
      <c r="R37" s="26">
        <f t="shared" si="20"/>
        <v>4.3144645054024419E-2</v>
      </c>
    </row>
    <row r="38" spans="1:18" ht="15.5" customHeight="1">
      <c r="A38" s="1" t="s">
        <v>60</v>
      </c>
      <c r="B38" s="30">
        <v>10.245233542558644</v>
      </c>
      <c r="C38" s="30">
        <v>490.63079012345656</v>
      </c>
      <c r="D38" s="23">
        <v>45.813515081206447</v>
      </c>
      <c r="E38" s="23">
        <v>12.806666666666667</v>
      </c>
      <c r="F38" s="1">
        <v>0.9</v>
      </c>
      <c r="G38" s="24">
        <f>$G37</f>
        <v>52.369333333333337</v>
      </c>
      <c r="H38" s="24">
        <f t="shared" si="18"/>
        <v>1.1066066444735856</v>
      </c>
      <c r="I38" s="1">
        <v>11</v>
      </c>
      <c r="J38" s="1">
        <v>0.85</v>
      </c>
      <c r="K38" s="1">
        <v>5000</v>
      </c>
      <c r="L38" s="1">
        <v>1380</v>
      </c>
      <c r="M38" s="1">
        <v>44.7</v>
      </c>
      <c r="N38" s="1">
        <f>$N37</f>
        <v>1.865</v>
      </c>
      <c r="O38" s="1">
        <f t="shared" si="16"/>
        <v>83.365500000000011</v>
      </c>
      <c r="P38" s="25">
        <f t="shared" si="19"/>
        <v>5900.2254271250722</v>
      </c>
      <c r="Q38" s="24">
        <f t="shared" si="17"/>
        <v>31.866543524460965</v>
      </c>
      <c r="R38" s="26">
        <f>(44/28)*0.0075*(14/62)*Q38/N38</f>
        <v>4.5472452491014947E-2</v>
      </c>
    </row>
    <row r="39" spans="1:18" ht="14.25" customHeight="1">
      <c r="D39" s="19"/>
      <c r="F39" s="19"/>
      <c r="P39" s="16" t="s">
        <v>59</v>
      </c>
      <c r="Q39" s="17">
        <f>AVERAGE(Q34:Q38)</f>
        <v>30.522020525258046</v>
      </c>
      <c r="R39" s="18">
        <f>AVERAGE(R34:R38)</f>
        <v>4.3553864798647215E-2</v>
      </c>
    </row>
    <row r="41" spans="1:18" ht="15.5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18" ht="45.5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82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18" ht="15.5" customHeight="1">
      <c r="A43" s="6" t="s">
        <v>61</v>
      </c>
      <c r="B43" s="7">
        <v>8.5342185471270451</v>
      </c>
      <c r="C43" s="7">
        <v>423.8413333333333</v>
      </c>
      <c r="D43" s="8">
        <v>51.466952926703897</v>
      </c>
      <c r="E43" s="8">
        <v>11.355704697986576</v>
      </c>
      <c r="F43" s="6">
        <v>0.9</v>
      </c>
      <c r="G43" s="9">
        <f>'Summary N2O from residue'!H13*1000</f>
        <v>53.716444444444434</v>
      </c>
      <c r="H43" s="9">
        <f>D43*100/(3000*L43/1000)</f>
        <v>1.1996958724173403</v>
      </c>
      <c r="I43" s="6">
        <v>11</v>
      </c>
      <c r="J43" s="6">
        <v>0.85</v>
      </c>
      <c r="K43" s="6">
        <v>5000</v>
      </c>
      <c r="L43" s="6">
        <v>1430</v>
      </c>
      <c r="M43" s="6">
        <v>44.7</v>
      </c>
      <c r="N43" s="6">
        <f>N34</f>
        <v>1.865</v>
      </c>
      <c r="O43" s="6">
        <f t="shared" ref="O43:O47" si="21">M43*N43</f>
        <v>83.365500000000011</v>
      </c>
      <c r="P43" s="10">
        <f>((H43/100)*K43*L43)/I43*J43</f>
        <v>6628.3196951058053</v>
      </c>
      <c r="Q43" s="9">
        <f t="shared" ref="Q43:Q47" si="22">(21.37+(C43/(E43*F43))*((0.0037*G43)+(0.0000601*P43)-(0.00362*O43)))</f>
        <v>33.617682018800714</v>
      </c>
      <c r="R43" s="11">
        <f>(44/28)*0.0075*(14/62)*Q43/N43</f>
        <v>4.7971266393687775E-2</v>
      </c>
    </row>
    <row r="44" spans="1:18" ht="15.5" customHeight="1">
      <c r="A44" s="44" t="s">
        <v>73</v>
      </c>
      <c r="B44" s="7">
        <v>8.9333161865569277</v>
      </c>
      <c r="C44" s="7">
        <v>480.85022222222216</v>
      </c>
      <c r="D44" s="8">
        <v>43.384668252451753</v>
      </c>
      <c r="E44" s="8">
        <v>14.516806722689076</v>
      </c>
      <c r="F44" s="6">
        <v>0.9</v>
      </c>
      <c r="G44" s="9">
        <f>$G43</f>
        <v>53.716444444444434</v>
      </c>
      <c r="H44" s="9">
        <f t="shared" ref="H44:H47" si="23">D44*100/(3000*L44/1000)</f>
        <v>1.0329682917250418</v>
      </c>
      <c r="I44" s="6">
        <v>11</v>
      </c>
      <c r="J44" s="6">
        <v>0.85</v>
      </c>
      <c r="K44" s="6">
        <v>5000</v>
      </c>
      <c r="L44" s="6">
        <v>1400</v>
      </c>
      <c r="M44" s="6">
        <v>44.7</v>
      </c>
      <c r="N44" s="6">
        <f>$N43</f>
        <v>1.865</v>
      </c>
      <c r="O44" s="6">
        <f t="shared" si="21"/>
        <v>83.365500000000011</v>
      </c>
      <c r="P44" s="10">
        <f t="shared" ref="P44:P47" si="24">((H44/100)*K44*L44)/I44*J44</f>
        <v>5587.4193961490892</v>
      </c>
      <c r="Q44" s="9">
        <f t="shared" si="22"/>
        <v>29.936951016213413</v>
      </c>
      <c r="R44" s="11">
        <f t="shared" ref="R44:R46" si="25">(44/28)*0.0075*(14/62)*Q44/N44</f>
        <v>4.2718990899206194E-2</v>
      </c>
    </row>
    <row r="45" spans="1:18" ht="15.5" customHeight="1">
      <c r="A45" s="6" t="s">
        <v>62</v>
      </c>
      <c r="B45" s="7">
        <v>9.8491974539919749</v>
      </c>
      <c r="C45" s="7">
        <v>413.15216666666657</v>
      </c>
      <c r="D45" s="8">
        <v>40.264510223317863</v>
      </c>
      <c r="E45" s="8">
        <v>15.6484375</v>
      </c>
      <c r="F45" s="6">
        <v>0.9</v>
      </c>
      <c r="G45" s="9">
        <f>$G44</f>
        <v>53.716444444444434</v>
      </c>
      <c r="H45" s="9">
        <f t="shared" si="23"/>
        <v>0.97257271070816087</v>
      </c>
      <c r="I45" s="6">
        <v>11</v>
      </c>
      <c r="J45" s="6">
        <v>0.85</v>
      </c>
      <c r="K45" s="6">
        <v>5000</v>
      </c>
      <c r="L45" s="6">
        <v>1380</v>
      </c>
      <c r="M45" s="6">
        <v>44.7</v>
      </c>
      <c r="N45" s="6">
        <f>$N44</f>
        <v>1.865</v>
      </c>
      <c r="O45" s="6">
        <f t="shared" si="21"/>
        <v>83.365500000000011</v>
      </c>
      <c r="P45" s="10">
        <f t="shared" si="24"/>
        <v>5185.5808620939661</v>
      </c>
      <c r="Q45" s="9">
        <f t="shared" si="22"/>
        <v>27.490048567998926</v>
      </c>
      <c r="R45" s="11">
        <f t="shared" si="25"/>
        <v>3.9227345963156808E-2</v>
      </c>
    </row>
    <row r="46" spans="1:18" ht="15.5" customHeight="1">
      <c r="A46" s="6" t="s">
        <v>63</v>
      </c>
      <c r="B46" s="7">
        <v>11.505836658768759</v>
      </c>
      <c r="C46" s="7">
        <v>569.06975308641972</v>
      </c>
      <c r="D46" s="8">
        <v>51.96490719257541</v>
      </c>
      <c r="E46" s="8">
        <v>20.983333333333334</v>
      </c>
      <c r="F46" s="6">
        <v>0.9</v>
      </c>
      <c r="G46" s="9">
        <f>$G45</f>
        <v>53.716444444444434</v>
      </c>
      <c r="H46" s="9">
        <f t="shared" si="23"/>
        <v>1.2643529730553629</v>
      </c>
      <c r="I46" s="6">
        <v>11</v>
      </c>
      <c r="J46" s="6">
        <v>0.85</v>
      </c>
      <c r="K46" s="6">
        <v>5000</v>
      </c>
      <c r="L46" s="6">
        <v>1370</v>
      </c>
      <c r="M46" s="6">
        <v>44.7</v>
      </c>
      <c r="N46" s="6">
        <f>$N45</f>
        <v>1.865</v>
      </c>
      <c r="O46" s="6">
        <f t="shared" si="21"/>
        <v>83.365500000000011</v>
      </c>
      <c r="P46" s="10">
        <f t="shared" si="24"/>
        <v>6692.4501687407719</v>
      </c>
      <c r="Q46" s="9">
        <f t="shared" si="22"/>
        <v>30.385438659305329</v>
      </c>
      <c r="R46" s="11">
        <f t="shared" si="25"/>
        <v>4.335896721253462E-2</v>
      </c>
    </row>
    <row r="47" spans="1:18" ht="15.5" customHeight="1">
      <c r="A47" s="6" t="s">
        <v>60</v>
      </c>
      <c r="B47" s="7">
        <v>10.245233542558644</v>
      </c>
      <c r="C47" s="7">
        <v>490.63079012345656</v>
      </c>
      <c r="D47" s="8">
        <v>45.813515081206447</v>
      </c>
      <c r="E47" s="8">
        <v>12.806666666666667</v>
      </c>
      <c r="F47" s="6">
        <v>0.9</v>
      </c>
      <c r="G47" s="9">
        <f>$G46</f>
        <v>53.716444444444434</v>
      </c>
      <c r="H47" s="9">
        <f t="shared" si="23"/>
        <v>1.1066066444735856</v>
      </c>
      <c r="I47" s="6">
        <v>11</v>
      </c>
      <c r="J47" s="6">
        <v>0.85</v>
      </c>
      <c r="K47" s="6">
        <v>5000</v>
      </c>
      <c r="L47" s="6">
        <v>1380</v>
      </c>
      <c r="M47" s="6">
        <v>44.7</v>
      </c>
      <c r="N47" s="6">
        <f>$N46</f>
        <v>1.865</v>
      </c>
      <c r="O47" s="6">
        <f t="shared" si="21"/>
        <v>83.365500000000011</v>
      </c>
      <c r="P47" s="10">
        <f t="shared" si="24"/>
        <v>5900.2254271250722</v>
      </c>
      <c r="Q47" s="9">
        <f t="shared" si="22"/>
        <v>32.078712229880502</v>
      </c>
      <c r="R47" s="11">
        <f>(44/28)*0.0075*(14/62)*Q47/N47</f>
        <v>4.5775209875726731E-2</v>
      </c>
    </row>
    <row r="48" spans="1:18" ht="14.25" customHeight="1">
      <c r="D48" s="19"/>
      <c r="F48" s="19"/>
      <c r="P48" s="41" t="s">
        <v>59</v>
      </c>
      <c r="Q48" s="42">
        <f>AVERAGE(Q43:Q47)</f>
        <v>30.701766498439774</v>
      </c>
      <c r="R48" s="43">
        <f>AVERAGE(R43:R47)</f>
        <v>4.3810356068862424E-2</v>
      </c>
    </row>
    <row r="50" spans="1:18" ht="15.5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45.5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82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8" ht="15.5" customHeight="1">
      <c r="A52" s="6" t="s">
        <v>61</v>
      </c>
      <c r="B52" s="7">
        <v>8.5342185471270451</v>
      </c>
      <c r="C52" s="7">
        <v>423.8413333333333</v>
      </c>
      <c r="D52" s="8">
        <v>51.466952926703897</v>
      </c>
      <c r="E52" s="8">
        <v>11.355704697986576</v>
      </c>
      <c r="F52" s="6">
        <v>0.9</v>
      </c>
      <c r="G52" s="9">
        <f>'Summary N2O from residue'!H14*1000</f>
        <v>63.920888888888889</v>
      </c>
      <c r="H52" s="9">
        <f>D52*100/(3000*L52/1000)</f>
        <v>1.1996958724173403</v>
      </c>
      <c r="I52" s="6">
        <v>11</v>
      </c>
      <c r="J52" s="6">
        <v>0.85</v>
      </c>
      <c r="K52" s="6">
        <v>5000</v>
      </c>
      <c r="L52" s="6">
        <v>1430</v>
      </c>
      <c r="M52" s="6">
        <v>44.7</v>
      </c>
      <c r="N52" s="6">
        <f>N43</f>
        <v>1.865</v>
      </c>
      <c r="O52" s="6">
        <f t="shared" ref="O52:O56" si="26">M52*N52</f>
        <v>83.365500000000011</v>
      </c>
      <c r="P52" s="10">
        <f>((H52/100)*K52*L52)/I52*J52</f>
        <v>6628.3196951058053</v>
      </c>
      <c r="Q52" s="9">
        <f t="shared" ref="Q52:Q56" si="27">(21.37+(C52/(E52*F52))*((0.0037*G52)+(0.0000601*P52)-(0.00362*O52)))</f>
        <v>35.183487457160069</v>
      </c>
      <c r="R52" s="11">
        <f>(44/28)*0.0075*(14/62)*Q52/N52</f>
        <v>5.0205616452749381E-2</v>
      </c>
    </row>
    <row r="53" spans="1:18" ht="15.5" customHeight="1">
      <c r="A53" s="44" t="s">
        <v>73</v>
      </c>
      <c r="B53" s="7">
        <v>8.9333161865569277</v>
      </c>
      <c r="C53" s="7">
        <v>480.85022222222216</v>
      </c>
      <c r="D53" s="8">
        <v>43.384668252451753</v>
      </c>
      <c r="E53" s="8">
        <v>14.516806722689076</v>
      </c>
      <c r="F53" s="6">
        <v>0.9</v>
      </c>
      <c r="G53" s="9">
        <f>$G52</f>
        <v>63.920888888888889</v>
      </c>
      <c r="H53" s="9">
        <f t="shared" ref="H53:H56" si="28">D53*100/(3000*L53/1000)</f>
        <v>1.0329682917250418</v>
      </c>
      <c r="I53" s="6">
        <v>11</v>
      </c>
      <c r="J53" s="6">
        <v>0.85</v>
      </c>
      <c r="K53" s="6">
        <v>5000</v>
      </c>
      <c r="L53" s="6">
        <v>1400</v>
      </c>
      <c r="M53" s="6">
        <v>44.7</v>
      </c>
      <c r="N53" s="6">
        <f>$N52</f>
        <v>1.865</v>
      </c>
      <c r="O53" s="6">
        <f t="shared" si="26"/>
        <v>83.365500000000011</v>
      </c>
      <c r="P53" s="10">
        <f t="shared" ref="P53:P56" si="29">((H53/100)*K53*L53)/I53*J53</f>
        <v>5587.4193961490892</v>
      </c>
      <c r="Q53" s="9">
        <f t="shared" si="27"/>
        <v>31.326543021018317</v>
      </c>
      <c r="R53" s="11">
        <f t="shared" ref="R53:R55" si="30">(44/28)*0.0075*(14/62)*Q53/N53</f>
        <v>4.4701890499593715E-2</v>
      </c>
    </row>
    <row r="54" spans="1:18" ht="15.5" customHeight="1">
      <c r="A54" s="6" t="s">
        <v>62</v>
      </c>
      <c r="B54" s="7">
        <v>9.8491974539919749</v>
      </c>
      <c r="C54" s="7">
        <v>413.15216666666657</v>
      </c>
      <c r="D54" s="8">
        <v>40.264510223317863</v>
      </c>
      <c r="E54" s="8">
        <v>15.6484375</v>
      </c>
      <c r="F54" s="6">
        <v>0.9</v>
      </c>
      <c r="G54" s="9">
        <f>$G53</f>
        <v>63.920888888888889</v>
      </c>
      <c r="H54" s="9">
        <f t="shared" si="28"/>
        <v>0.97257271070816087</v>
      </c>
      <c r="I54" s="6">
        <v>11</v>
      </c>
      <c r="J54" s="6">
        <v>0.85</v>
      </c>
      <c r="K54" s="6">
        <v>5000</v>
      </c>
      <c r="L54" s="6">
        <v>1380</v>
      </c>
      <c r="M54" s="6">
        <v>44.7</v>
      </c>
      <c r="N54" s="6">
        <f>$N53</f>
        <v>1.865</v>
      </c>
      <c r="O54" s="6">
        <f t="shared" si="26"/>
        <v>83.365500000000011</v>
      </c>
      <c r="P54" s="10">
        <f t="shared" si="29"/>
        <v>5185.5808620939661</v>
      </c>
      <c r="Q54" s="9">
        <f t="shared" si="27"/>
        <v>28.597660524489214</v>
      </c>
      <c r="R54" s="11">
        <f t="shared" si="30"/>
        <v>4.0807869813549419E-2</v>
      </c>
    </row>
    <row r="55" spans="1:18" ht="15.5" customHeight="1">
      <c r="A55" s="6" t="s">
        <v>63</v>
      </c>
      <c r="B55" s="7">
        <v>11.505836658768759</v>
      </c>
      <c r="C55" s="7">
        <v>569.06975308641972</v>
      </c>
      <c r="D55" s="8">
        <v>51.96490719257541</v>
      </c>
      <c r="E55" s="8">
        <v>20.983333333333334</v>
      </c>
      <c r="F55" s="6">
        <v>0.9</v>
      </c>
      <c r="G55" s="9">
        <f>$G54</f>
        <v>63.920888888888889</v>
      </c>
      <c r="H55" s="9">
        <f t="shared" si="28"/>
        <v>1.2643529730553629</v>
      </c>
      <c r="I55" s="6">
        <v>11</v>
      </c>
      <c r="J55" s="6">
        <v>0.85</v>
      </c>
      <c r="K55" s="6">
        <v>5000</v>
      </c>
      <c r="L55" s="6">
        <v>1370</v>
      </c>
      <c r="M55" s="6">
        <v>44.7</v>
      </c>
      <c r="N55" s="6">
        <f>$N54</f>
        <v>1.865</v>
      </c>
      <c r="O55" s="6">
        <f t="shared" si="26"/>
        <v>83.365500000000011</v>
      </c>
      <c r="P55" s="10">
        <f t="shared" si="29"/>
        <v>6692.4501687407719</v>
      </c>
      <c r="Q55" s="9">
        <f t="shared" si="27"/>
        <v>31.523169690145735</v>
      </c>
      <c r="R55" s="11">
        <f t="shared" si="30"/>
        <v>4.4982469937507957E-2</v>
      </c>
    </row>
    <row r="56" spans="1:18" ht="15.5" customHeight="1">
      <c r="A56" s="6" t="s">
        <v>60</v>
      </c>
      <c r="B56" s="7">
        <v>10.245233542558644</v>
      </c>
      <c r="C56" s="7">
        <v>490.63079012345656</v>
      </c>
      <c r="D56" s="8">
        <v>45.813515081206447</v>
      </c>
      <c r="E56" s="8">
        <v>12.806666666666667</v>
      </c>
      <c r="F56" s="6">
        <v>0.9</v>
      </c>
      <c r="G56" s="9">
        <f>$G55</f>
        <v>63.920888888888889</v>
      </c>
      <c r="H56" s="9">
        <f t="shared" si="28"/>
        <v>1.1066066444735856</v>
      </c>
      <c r="I56" s="6">
        <v>11</v>
      </c>
      <c r="J56" s="6">
        <v>0.85</v>
      </c>
      <c r="K56" s="6">
        <v>5000</v>
      </c>
      <c r="L56" s="6">
        <v>1380</v>
      </c>
      <c r="M56" s="6">
        <v>44.7</v>
      </c>
      <c r="N56" s="6">
        <f>$N55</f>
        <v>1.865</v>
      </c>
      <c r="O56" s="6">
        <f t="shared" si="26"/>
        <v>83.365500000000011</v>
      </c>
      <c r="P56" s="10">
        <f t="shared" si="29"/>
        <v>5900.2254271250722</v>
      </c>
      <c r="Q56" s="9">
        <f t="shared" si="27"/>
        <v>33.685902423358741</v>
      </c>
      <c r="R56" s="11">
        <f>(44/28)*0.0075*(14/62)*Q56/N56</f>
        <v>4.8068614545137001E-2</v>
      </c>
    </row>
    <row r="57" spans="1:18" ht="14.25" customHeight="1">
      <c r="D57" s="19"/>
      <c r="F57" s="19"/>
      <c r="P57" s="41" t="s">
        <v>59</v>
      </c>
      <c r="Q57" s="42">
        <f>AVERAGE(Q52:Q56)</f>
        <v>32.063352623234415</v>
      </c>
      <c r="R57" s="43">
        <f>AVERAGE(R52:R56)</f>
        <v>4.5753292249707492E-2</v>
      </c>
    </row>
    <row r="59" spans="1:18" ht="15.5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45.5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82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5.5" customHeight="1">
      <c r="A61" s="6" t="s">
        <v>61</v>
      </c>
      <c r="B61" s="7">
        <v>8.5342185471270451</v>
      </c>
      <c r="C61" s="7">
        <v>423.8413333333333</v>
      </c>
      <c r="D61" s="8">
        <v>51.466952926703897</v>
      </c>
      <c r="E61" s="8">
        <v>11.355704697986576</v>
      </c>
      <c r="F61" s="6">
        <v>0.9</v>
      </c>
      <c r="G61" s="9">
        <f>'Summary N2O from residue'!H15*1000</f>
        <v>74.12533333333333</v>
      </c>
      <c r="H61" s="9">
        <f>D61*100/(3000*L61/1000)</f>
        <v>1.1996958724173403</v>
      </c>
      <c r="I61" s="6">
        <v>11</v>
      </c>
      <c r="J61" s="6">
        <v>0.85</v>
      </c>
      <c r="K61" s="6">
        <v>5000</v>
      </c>
      <c r="L61" s="6">
        <v>1430</v>
      </c>
      <c r="M61" s="6">
        <v>44.7</v>
      </c>
      <c r="N61" s="6">
        <f>N52</f>
        <v>1.865</v>
      </c>
      <c r="O61" s="6">
        <f t="shared" ref="O61:O65" si="31">M61*N61</f>
        <v>83.365500000000011</v>
      </c>
      <c r="P61" s="10">
        <f>((H61/100)*K61*L61)/I61*J61</f>
        <v>6628.3196951058053</v>
      </c>
      <c r="Q61" s="9">
        <f t="shared" ref="Q61:Q65" si="32">(21.37+(C61/(E61*F61))*((0.0037*G61)+(0.0000601*P61)-(0.00362*O61)))</f>
        <v>36.749292895519424</v>
      </c>
      <c r="R61" s="11">
        <f>(44/28)*0.0075*(14/62)*Q61/N61</f>
        <v>5.2439966511810987E-2</v>
      </c>
    </row>
    <row r="62" spans="1:18" ht="15.5" customHeight="1">
      <c r="A62" s="44" t="s">
        <v>73</v>
      </c>
      <c r="B62" s="7">
        <v>8.9333161865569277</v>
      </c>
      <c r="C62" s="7">
        <v>480.85022222222216</v>
      </c>
      <c r="D62" s="8">
        <v>43.384668252451753</v>
      </c>
      <c r="E62" s="8">
        <v>14.516806722689076</v>
      </c>
      <c r="F62" s="6">
        <v>0.9</v>
      </c>
      <c r="G62" s="9">
        <f>$G61</f>
        <v>74.12533333333333</v>
      </c>
      <c r="H62" s="9">
        <f t="shared" ref="H62:H65" si="33">D62*100/(3000*L62/1000)</f>
        <v>1.0329682917250418</v>
      </c>
      <c r="I62" s="6">
        <v>11</v>
      </c>
      <c r="J62" s="6">
        <v>0.85</v>
      </c>
      <c r="K62" s="6">
        <v>5000</v>
      </c>
      <c r="L62" s="6">
        <v>1400</v>
      </c>
      <c r="M62" s="6">
        <v>44.7</v>
      </c>
      <c r="N62" s="6">
        <f>$N61</f>
        <v>1.865</v>
      </c>
      <c r="O62" s="6">
        <f t="shared" si="31"/>
        <v>83.365500000000011</v>
      </c>
      <c r="P62" s="10">
        <f t="shared" ref="P62:P65" si="34">((H62/100)*K62*L62)/I62*J62</f>
        <v>5587.4193961490892</v>
      </c>
      <c r="Q62" s="9">
        <f t="shared" si="32"/>
        <v>32.71613502582322</v>
      </c>
      <c r="R62" s="11">
        <f t="shared" ref="R62:R64" si="35">(44/28)*0.0075*(14/62)*Q62/N62</f>
        <v>4.6684790099981235E-2</v>
      </c>
    </row>
    <row r="63" spans="1:18" ht="15.5" customHeight="1">
      <c r="A63" s="6" t="s">
        <v>62</v>
      </c>
      <c r="B63" s="7">
        <v>9.8491974539919749</v>
      </c>
      <c r="C63" s="7">
        <v>413.15216666666657</v>
      </c>
      <c r="D63" s="8">
        <v>40.264510223317863</v>
      </c>
      <c r="E63" s="8">
        <v>15.6484375</v>
      </c>
      <c r="F63" s="6">
        <v>0.9</v>
      </c>
      <c r="G63" s="9">
        <f>$G62</f>
        <v>74.12533333333333</v>
      </c>
      <c r="H63" s="9">
        <f t="shared" si="33"/>
        <v>0.97257271070816087</v>
      </c>
      <c r="I63" s="6">
        <v>11</v>
      </c>
      <c r="J63" s="6">
        <v>0.85</v>
      </c>
      <c r="K63" s="6">
        <v>5000</v>
      </c>
      <c r="L63" s="6">
        <v>1380</v>
      </c>
      <c r="M63" s="6">
        <v>44.7</v>
      </c>
      <c r="N63" s="6">
        <f>$N62</f>
        <v>1.865</v>
      </c>
      <c r="O63" s="6">
        <f t="shared" si="31"/>
        <v>83.365500000000011</v>
      </c>
      <c r="P63" s="10">
        <f t="shared" si="34"/>
        <v>5185.5808620939661</v>
      </c>
      <c r="Q63" s="9">
        <f t="shared" si="32"/>
        <v>29.705272480979495</v>
      </c>
      <c r="R63" s="11">
        <f t="shared" si="35"/>
        <v>4.2388393663942016E-2</v>
      </c>
    </row>
    <row r="64" spans="1:18" ht="15.5" customHeight="1">
      <c r="A64" s="6" t="s">
        <v>63</v>
      </c>
      <c r="B64" s="7">
        <v>11.505836658768759</v>
      </c>
      <c r="C64" s="7">
        <v>569.06975308641972</v>
      </c>
      <c r="D64" s="8">
        <v>51.96490719257541</v>
      </c>
      <c r="E64" s="8">
        <v>20.983333333333334</v>
      </c>
      <c r="F64" s="6">
        <v>0.9</v>
      </c>
      <c r="G64" s="9">
        <f>$G63</f>
        <v>74.12533333333333</v>
      </c>
      <c r="H64" s="9">
        <f t="shared" si="33"/>
        <v>1.2643529730553629</v>
      </c>
      <c r="I64" s="6">
        <v>11</v>
      </c>
      <c r="J64" s="6">
        <v>0.85</v>
      </c>
      <c r="K64" s="6">
        <v>5000</v>
      </c>
      <c r="L64" s="6">
        <v>1370</v>
      </c>
      <c r="M64" s="6">
        <v>44.7</v>
      </c>
      <c r="N64" s="6">
        <f>$N63</f>
        <v>1.865</v>
      </c>
      <c r="O64" s="6">
        <f t="shared" si="31"/>
        <v>83.365500000000011</v>
      </c>
      <c r="P64" s="10">
        <f t="shared" si="34"/>
        <v>6692.4501687407719</v>
      </c>
      <c r="Q64" s="9">
        <f t="shared" si="32"/>
        <v>32.660900720986149</v>
      </c>
      <c r="R64" s="11">
        <f t="shared" si="35"/>
        <v>4.6605972662481308E-2</v>
      </c>
    </row>
    <row r="65" spans="1:18" ht="15.5" customHeight="1">
      <c r="A65" s="6" t="s">
        <v>60</v>
      </c>
      <c r="B65" s="7">
        <v>10.245233542558644</v>
      </c>
      <c r="C65" s="7">
        <v>490.63079012345656</v>
      </c>
      <c r="D65" s="8">
        <v>45.813515081206447</v>
      </c>
      <c r="E65" s="8">
        <v>12.806666666666667</v>
      </c>
      <c r="F65" s="6">
        <v>0.9</v>
      </c>
      <c r="G65" s="9">
        <f>$G64</f>
        <v>74.12533333333333</v>
      </c>
      <c r="H65" s="9">
        <f t="shared" si="33"/>
        <v>1.1066066444735856</v>
      </c>
      <c r="I65" s="6">
        <v>11</v>
      </c>
      <c r="J65" s="6">
        <v>0.85</v>
      </c>
      <c r="K65" s="6">
        <v>5000</v>
      </c>
      <c r="L65" s="6">
        <v>1380</v>
      </c>
      <c r="M65" s="6">
        <v>44.7</v>
      </c>
      <c r="N65" s="6">
        <f>$N64</f>
        <v>1.865</v>
      </c>
      <c r="O65" s="6">
        <f t="shared" si="31"/>
        <v>83.365500000000011</v>
      </c>
      <c r="P65" s="10">
        <f t="shared" si="34"/>
        <v>5900.2254271250722</v>
      </c>
      <c r="Q65" s="9">
        <f t="shared" si="32"/>
        <v>35.293092616836972</v>
      </c>
      <c r="R65" s="11">
        <f>(44/28)*0.0075*(14/62)*Q65/N65</f>
        <v>5.0362019214547256E-2</v>
      </c>
    </row>
    <row r="66" spans="1:18" ht="14.25" customHeight="1">
      <c r="D66" s="19"/>
      <c r="F66" s="19"/>
      <c r="P66" s="41" t="s">
        <v>59</v>
      </c>
      <c r="Q66" s="42">
        <f>AVERAGE(Q61:Q65)</f>
        <v>33.424938748029049</v>
      </c>
      <c r="R66" s="43">
        <f>AVERAGE(R61:R65)</f>
        <v>4.7696228430552559E-2</v>
      </c>
    </row>
    <row r="68" spans="1:18" ht="15.5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8" ht="45.5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82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5.5" customHeight="1">
      <c r="A70" s="6" t="s">
        <v>61</v>
      </c>
      <c r="B70" s="7">
        <v>8.5342185471270451</v>
      </c>
      <c r="C70" s="7">
        <v>423.8413333333333</v>
      </c>
      <c r="D70" s="8">
        <v>51.466952926703897</v>
      </c>
      <c r="E70" s="8">
        <v>11.355704697986576</v>
      </c>
      <c r="F70" s="6">
        <v>0.9</v>
      </c>
      <c r="G70" s="9">
        <f>'Summary N2O from residue'!H16*1000</f>
        <v>75.47244444444442</v>
      </c>
      <c r="H70" s="9">
        <f>D70*100/(3000*L70/1000)</f>
        <v>1.1996958724173403</v>
      </c>
      <c r="I70" s="6">
        <v>11</v>
      </c>
      <c r="J70" s="6">
        <v>0.85</v>
      </c>
      <c r="K70" s="6">
        <v>5000</v>
      </c>
      <c r="L70" s="6">
        <v>1430</v>
      </c>
      <c r="M70" s="6">
        <v>44.7</v>
      </c>
      <c r="N70" s="6">
        <f>N61</f>
        <v>1.865</v>
      </c>
      <c r="O70" s="6">
        <f t="shared" ref="O70:O74" si="36">M70*N70</f>
        <v>83.365500000000011</v>
      </c>
      <c r="P70" s="10">
        <f>((H70/100)*K70*L70)/I70*J70</f>
        <v>6628.3196951058053</v>
      </c>
      <c r="Q70" s="9">
        <f t="shared" ref="Q70:Q74" si="37">(21.37+(C70/(E70*F70))*((0.0037*G70)+(0.0000601*P70)-(0.00362*O70)))</f>
        <v>36.955998308571132</v>
      </c>
      <c r="R70" s="11">
        <f>(44/28)*0.0075*(14/62)*Q70/N70</f>
        <v>5.2734927967778567E-2</v>
      </c>
    </row>
    <row r="71" spans="1:18" ht="15.5" customHeight="1">
      <c r="A71" s="44" t="s">
        <v>73</v>
      </c>
      <c r="B71" s="7">
        <v>8.9333161865569277</v>
      </c>
      <c r="C71" s="7">
        <v>480.85022222222216</v>
      </c>
      <c r="D71" s="8">
        <v>43.384668252451753</v>
      </c>
      <c r="E71" s="8">
        <v>14.516806722689076</v>
      </c>
      <c r="F71" s="6">
        <v>0.9</v>
      </c>
      <c r="G71" s="9">
        <f>$G70</f>
        <v>75.47244444444442</v>
      </c>
      <c r="H71" s="9">
        <f t="shared" ref="H71:H74" si="38">D71*100/(3000*L71/1000)</f>
        <v>1.0329682917250418</v>
      </c>
      <c r="I71" s="6">
        <v>11</v>
      </c>
      <c r="J71" s="6">
        <v>0.85</v>
      </c>
      <c r="K71" s="6">
        <v>5000</v>
      </c>
      <c r="L71" s="6">
        <v>1400</v>
      </c>
      <c r="M71" s="6">
        <v>44.7</v>
      </c>
      <c r="N71" s="6">
        <f>$N70</f>
        <v>1.865</v>
      </c>
      <c r="O71" s="6">
        <f t="shared" si="36"/>
        <v>83.365500000000011</v>
      </c>
      <c r="P71" s="10">
        <f t="shared" ref="P71:P74" si="39">((H71/100)*K71*L71)/I71*J71</f>
        <v>5587.4193961490892</v>
      </c>
      <c r="Q71" s="9">
        <f t="shared" si="37"/>
        <v>32.89957811670142</v>
      </c>
      <c r="R71" s="11">
        <f t="shared" ref="R71:R73" si="40">(44/28)*0.0075*(14/62)*Q71/N71</f>
        <v>4.694655702893482E-2</v>
      </c>
    </row>
    <row r="72" spans="1:18" ht="15.5" customHeight="1">
      <c r="A72" s="6" t="s">
        <v>62</v>
      </c>
      <c r="B72" s="7">
        <v>9.8491974539919749</v>
      </c>
      <c r="C72" s="7">
        <v>413.15216666666657</v>
      </c>
      <c r="D72" s="8">
        <v>40.264510223317863</v>
      </c>
      <c r="E72" s="8">
        <v>15.6484375</v>
      </c>
      <c r="F72" s="6">
        <v>0.9</v>
      </c>
      <c r="G72" s="9">
        <f>$G71</f>
        <v>75.47244444444442</v>
      </c>
      <c r="H72" s="9">
        <f t="shared" si="38"/>
        <v>0.97257271070816087</v>
      </c>
      <c r="I72" s="6">
        <v>11</v>
      </c>
      <c r="J72" s="6">
        <v>0.85</v>
      </c>
      <c r="K72" s="6">
        <v>5000</v>
      </c>
      <c r="L72" s="6">
        <v>1380</v>
      </c>
      <c r="M72" s="6">
        <v>44.7</v>
      </c>
      <c r="N72" s="6">
        <f>$N71</f>
        <v>1.865</v>
      </c>
      <c r="O72" s="6">
        <f t="shared" si="36"/>
        <v>83.365500000000011</v>
      </c>
      <c r="P72" s="10">
        <f t="shared" si="39"/>
        <v>5185.5808620939661</v>
      </c>
      <c r="Q72" s="9">
        <f t="shared" si="37"/>
        <v>29.851490766699097</v>
      </c>
      <c r="R72" s="11">
        <f t="shared" si="40"/>
        <v>4.2597042086874946E-2</v>
      </c>
    </row>
    <row r="73" spans="1:18" ht="15.5" customHeight="1">
      <c r="A73" s="6" t="s">
        <v>63</v>
      </c>
      <c r="B73" s="7">
        <v>11.505836658768759</v>
      </c>
      <c r="C73" s="7">
        <v>569.06975308641972</v>
      </c>
      <c r="D73" s="8">
        <v>51.96490719257541</v>
      </c>
      <c r="E73" s="8">
        <v>20.983333333333334</v>
      </c>
      <c r="F73" s="6">
        <v>0.9</v>
      </c>
      <c r="G73" s="9">
        <f>$G72</f>
        <v>75.47244444444442</v>
      </c>
      <c r="H73" s="9">
        <f t="shared" si="38"/>
        <v>1.2643529730553629</v>
      </c>
      <c r="I73" s="6">
        <v>11</v>
      </c>
      <c r="J73" s="6">
        <v>0.85</v>
      </c>
      <c r="K73" s="6">
        <v>5000</v>
      </c>
      <c r="L73" s="6">
        <v>1370</v>
      </c>
      <c r="M73" s="6">
        <v>44.7</v>
      </c>
      <c r="N73" s="6">
        <f>$N72</f>
        <v>1.865</v>
      </c>
      <c r="O73" s="6">
        <f t="shared" si="36"/>
        <v>83.365500000000011</v>
      </c>
      <c r="P73" s="10">
        <f t="shared" si="39"/>
        <v>6692.4501687407719</v>
      </c>
      <c r="Q73" s="9">
        <f t="shared" si="37"/>
        <v>32.811095091825749</v>
      </c>
      <c r="R73" s="11">
        <f t="shared" si="40"/>
        <v>4.6820294820991502E-2</v>
      </c>
    </row>
    <row r="74" spans="1:18" ht="15.5" customHeight="1">
      <c r="A74" s="6" t="s">
        <v>60</v>
      </c>
      <c r="B74" s="7">
        <v>10.245233542558644</v>
      </c>
      <c r="C74" s="7">
        <v>490.63079012345656</v>
      </c>
      <c r="D74" s="8">
        <v>45.813515081206447</v>
      </c>
      <c r="E74" s="8">
        <v>12.806666666666667</v>
      </c>
      <c r="F74" s="6">
        <v>0.9</v>
      </c>
      <c r="G74" s="9">
        <f>$G73</f>
        <v>75.47244444444442</v>
      </c>
      <c r="H74" s="9">
        <f t="shared" si="38"/>
        <v>1.1066066444735856</v>
      </c>
      <c r="I74" s="6">
        <v>11</v>
      </c>
      <c r="J74" s="6">
        <v>0.85</v>
      </c>
      <c r="K74" s="6">
        <v>5000</v>
      </c>
      <c r="L74" s="6">
        <v>1380</v>
      </c>
      <c r="M74" s="6">
        <v>44.7</v>
      </c>
      <c r="N74" s="6">
        <f>$N73</f>
        <v>1.865</v>
      </c>
      <c r="O74" s="6">
        <f t="shared" si="36"/>
        <v>83.365500000000011</v>
      </c>
      <c r="P74" s="10">
        <f t="shared" si="39"/>
        <v>5900.2254271250722</v>
      </c>
      <c r="Q74" s="9">
        <f t="shared" si="37"/>
        <v>35.505261322256509</v>
      </c>
      <c r="R74" s="11">
        <f>(44/28)*0.0075*(14/62)*Q74/N74</f>
        <v>5.066477659925904E-2</v>
      </c>
    </row>
    <row r="75" spans="1:18" ht="14.25" customHeight="1">
      <c r="D75" s="19"/>
      <c r="F75" s="19"/>
      <c r="P75" s="41" t="s">
        <v>59</v>
      </c>
      <c r="Q75" s="42">
        <f>AVERAGE(Q70:Q74)</f>
        <v>33.604684721210774</v>
      </c>
      <c r="R75" s="43">
        <f>AVERAGE(R70:R74)</f>
        <v>4.7952719700767775E-2</v>
      </c>
    </row>
    <row r="76" spans="1:18" ht="18" customHeight="1"/>
    <row r="77" spans="1:18" ht="15.5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8" ht="45.5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82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5.5" customHeight="1">
      <c r="A79" s="6" t="s">
        <v>61</v>
      </c>
      <c r="B79" s="7">
        <v>8.5342185471270451</v>
      </c>
      <c r="C79" s="7">
        <v>423.8413333333333</v>
      </c>
      <c r="D79" s="8">
        <v>51.466952926703897</v>
      </c>
      <c r="E79" s="8">
        <v>11.355704697986576</v>
      </c>
      <c r="F79" s="6">
        <v>0.9</v>
      </c>
      <c r="G79" s="9">
        <f>'Summary N2O from residue'!H17*1000</f>
        <v>85.676888888888868</v>
      </c>
      <c r="H79" s="9">
        <f>D79*100/(3000*L79/1000)</f>
        <v>1.1996958724173403</v>
      </c>
      <c r="I79" s="6">
        <v>11</v>
      </c>
      <c r="J79" s="6">
        <v>0.85</v>
      </c>
      <c r="K79" s="6">
        <v>5000</v>
      </c>
      <c r="L79" s="6">
        <v>1430</v>
      </c>
      <c r="M79" s="6">
        <v>44.7</v>
      </c>
      <c r="N79" s="6">
        <f>N70</f>
        <v>1.865</v>
      </c>
      <c r="O79" s="6">
        <f t="shared" ref="O79:O83" si="41">M79*N79</f>
        <v>83.365500000000011</v>
      </c>
      <c r="P79" s="10">
        <f>((H79/100)*K79*L79)/I79*J79</f>
        <v>6628.3196951058053</v>
      </c>
      <c r="Q79" s="9">
        <f t="shared" ref="Q79:Q83" si="42">(21.37+(C79/(E79*F79))*((0.0037*G79)+(0.0000601*P79)-(0.00362*O79)))</f>
        <v>38.521803746930487</v>
      </c>
      <c r="R79" s="11">
        <f>(44/28)*0.0075*(14/62)*Q79/N79</f>
        <v>5.4969278026840179E-2</v>
      </c>
    </row>
    <row r="80" spans="1:18" ht="15.5" customHeight="1">
      <c r="A80" s="44" t="s">
        <v>73</v>
      </c>
      <c r="B80" s="7">
        <v>8.9333161865569277</v>
      </c>
      <c r="C80" s="7">
        <v>480.85022222222216</v>
      </c>
      <c r="D80" s="8">
        <v>43.384668252451753</v>
      </c>
      <c r="E80" s="8">
        <v>14.516806722689076</v>
      </c>
      <c r="F80" s="6">
        <v>0.9</v>
      </c>
      <c r="G80" s="9">
        <f>$G79</f>
        <v>85.676888888888868</v>
      </c>
      <c r="H80" s="9">
        <f t="shared" ref="H80:H83" si="43">D80*100/(3000*L80/1000)</f>
        <v>1.0329682917250418</v>
      </c>
      <c r="I80" s="6">
        <v>11</v>
      </c>
      <c r="J80" s="6">
        <v>0.85</v>
      </c>
      <c r="K80" s="6">
        <v>5000</v>
      </c>
      <c r="L80" s="6">
        <v>1400</v>
      </c>
      <c r="M80" s="6">
        <v>44.7</v>
      </c>
      <c r="N80" s="6">
        <f>$N79</f>
        <v>1.865</v>
      </c>
      <c r="O80" s="6">
        <f t="shared" si="41"/>
        <v>83.365500000000011</v>
      </c>
      <c r="P80" s="10">
        <f t="shared" ref="P80:P83" si="44">((H80/100)*K80*L80)/I80*J80</f>
        <v>5587.4193961490892</v>
      </c>
      <c r="Q80" s="9">
        <f t="shared" si="42"/>
        <v>34.289170121506324</v>
      </c>
      <c r="R80" s="11">
        <f t="shared" ref="R80:R82" si="45">(44/28)*0.0075*(14/62)*Q80/N80</f>
        <v>4.892945662932234E-2</v>
      </c>
    </row>
    <row r="81" spans="1:18" ht="15.5" customHeight="1">
      <c r="A81" s="6" t="s">
        <v>62</v>
      </c>
      <c r="B81" s="7">
        <v>9.8491974539919749</v>
      </c>
      <c r="C81" s="7">
        <v>413.15216666666657</v>
      </c>
      <c r="D81" s="8">
        <v>40.264510223317863</v>
      </c>
      <c r="E81" s="8">
        <v>15.6484375</v>
      </c>
      <c r="F81" s="6">
        <v>0.9</v>
      </c>
      <c r="G81" s="9">
        <f>$G80</f>
        <v>85.676888888888868</v>
      </c>
      <c r="H81" s="9">
        <f t="shared" si="43"/>
        <v>0.97257271070816087</v>
      </c>
      <c r="I81" s="6">
        <v>11</v>
      </c>
      <c r="J81" s="6">
        <v>0.85</v>
      </c>
      <c r="K81" s="6">
        <v>5000</v>
      </c>
      <c r="L81" s="6">
        <v>1380</v>
      </c>
      <c r="M81" s="6">
        <v>44.7</v>
      </c>
      <c r="N81" s="6">
        <f>$N80</f>
        <v>1.865</v>
      </c>
      <c r="O81" s="6">
        <f t="shared" si="41"/>
        <v>83.365500000000011</v>
      </c>
      <c r="P81" s="10">
        <f t="shared" si="44"/>
        <v>5185.5808620939661</v>
      </c>
      <c r="Q81" s="9">
        <f t="shared" si="42"/>
        <v>30.959102723189382</v>
      </c>
      <c r="R81" s="11">
        <f t="shared" si="45"/>
        <v>4.4177565937267557E-2</v>
      </c>
    </row>
    <row r="82" spans="1:18" ht="15.5" customHeight="1">
      <c r="A82" s="6" t="s">
        <v>63</v>
      </c>
      <c r="B82" s="7">
        <v>11.505836658768759</v>
      </c>
      <c r="C82" s="7">
        <v>569.06975308641972</v>
      </c>
      <c r="D82" s="8">
        <v>51.96490719257541</v>
      </c>
      <c r="E82" s="8">
        <v>20.983333333333334</v>
      </c>
      <c r="F82" s="6">
        <v>0.9</v>
      </c>
      <c r="G82" s="9">
        <f>$G81</f>
        <v>85.676888888888868</v>
      </c>
      <c r="H82" s="9">
        <f t="shared" si="43"/>
        <v>1.2643529730553629</v>
      </c>
      <c r="I82" s="6">
        <v>11</v>
      </c>
      <c r="J82" s="6">
        <v>0.85</v>
      </c>
      <c r="K82" s="6">
        <v>5000</v>
      </c>
      <c r="L82" s="6">
        <v>1370</v>
      </c>
      <c r="M82" s="6">
        <v>44.7</v>
      </c>
      <c r="N82" s="6">
        <f>$N81</f>
        <v>1.865</v>
      </c>
      <c r="O82" s="6">
        <f t="shared" si="41"/>
        <v>83.365500000000011</v>
      </c>
      <c r="P82" s="10">
        <f t="shared" si="44"/>
        <v>6692.4501687407719</v>
      </c>
      <c r="Q82" s="9">
        <f t="shared" si="42"/>
        <v>33.948826122666155</v>
      </c>
      <c r="R82" s="11">
        <f t="shared" si="45"/>
        <v>4.844379754596484E-2</v>
      </c>
    </row>
    <row r="83" spans="1:18" ht="15.5" customHeight="1">
      <c r="A83" s="6" t="s">
        <v>60</v>
      </c>
      <c r="B83" s="7">
        <v>10.245233542558644</v>
      </c>
      <c r="C83" s="7">
        <v>490.63079012345656</v>
      </c>
      <c r="D83" s="8">
        <v>45.813515081206447</v>
      </c>
      <c r="E83" s="8">
        <v>12.806666666666667</v>
      </c>
      <c r="F83" s="6">
        <v>0.9</v>
      </c>
      <c r="G83" s="9">
        <f>$G82</f>
        <v>85.676888888888868</v>
      </c>
      <c r="H83" s="9">
        <f t="shared" si="43"/>
        <v>1.1066066444735856</v>
      </c>
      <c r="I83" s="6">
        <v>11</v>
      </c>
      <c r="J83" s="6">
        <v>0.85</v>
      </c>
      <c r="K83" s="6">
        <v>5000</v>
      </c>
      <c r="L83" s="6">
        <v>1380</v>
      </c>
      <c r="M83" s="6">
        <v>44.7</v>
      </c>
      <c r="N83" s="6">
        <f>$N82</f>
        <v>1.865</v>
      </c>
      <c r="O83" s="6">
        <f t="shared" si="41"/>
        <v>83.365500000000011</v>
      </c>
      <c r="P83" s="10">
        <f t="shared" si="44"/>
        <v>5900.2254271250722</v>
      </c>
      <c r="Q83" s="9">
        <f t="shared" si="42"/>
        <v>37.112451515734747</v>
      </c>
      <c r="R83" s="11">
        <f>(44/28)*0.0075*(14/62)*Q83/N83</f>
        <v>5.2958181268669309E-2</v>
      </c>
    </row>
    <row r="84" spans="1:18" ht="14.25" customHeight="1">
      <c r="D84" s="19"/>
      <c r="F84" s="19"/>
      <c r="P84" s="41" t="s">
        <v>59</v>
      </c>
      <c r="Q84" s="42">
        <f>AVERAGE(Q79:Q83)</f>
        <v>34.966270846005422</v>
      </c>
      <c r="R84" s="43">
        <f>AVERAGE(R79:R83)</f>
        <v>4.9895655881612842E-2</v>
      </c>
    </row>
    <row r="86" spans="1:18" ht="15.5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8" ht="45.5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82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5.5" customHeight="1">
      <c r="A88" s="6" t="s">
        <v>61</v>
      </c>
      <c r="B88" s="7">
        <v>8.5342185471270451</v>
      </c>
      <c r="C88" s="7">
        <v>423.8413333333333</v>
      </c>
      <c r="D88" s="8">
        <v>51.466952926703897</v>
      </c>
      <c r="E88" s="8">
        <v>11.355704697986576</v>
      </c>
      <c r="F88" s="6">
        <v>0.9</v>
      </c>
      <c r="G88" s="9">
        <f>'Summary N2O from residue'!H18*1000</f>
        <v>95.881333333333316</v>
      </c>
      <c r="H88" s="9">
        <f>D88*100/(3000*L88/1000)</f>
        <v>1.1996958724173403</v>
      </c>
      <c r="I88" s="6">
        <v>11</v>
      </c>
      <c r="J88" s="6">
        <v>0.85</v>
      </c>
      <c r="K88" s="6">
        <v>5000</v>
      </c>
      <c r="L88" s="6">
        <v>1430</v>
      </c>
      <c r="M88" s="6">
        <v>44.7</v>
      </c>
      <c r="N88" s="6">
        <f>N79</f>
        <v>1.865</v>
      </c>
      <c r="O88" s="6">
        <f t="shared" ref="O88:O92" si="46">M88*N88</f>
        <v>83.365500000000011</v>
      </c>
      <c r="P88" s="10">
        <f t="shared" ref="P88:P92" si="47">((H88/100)*K88*L88)/(I88*J88)</f>
        <v>9174.1449067208378</v>
      </c>
      <c r="Q88" s="9">
        <f t="shared" ref="Q88:Q92" si="48">(21.37+(C88/(E88*F88))*((0.0037*G88)+(0.0000601*P88)-(0.00362*O88)))</f>
        <v>46.432874156842225</v>
      </c>
      <c r="R88" s="11">
        <f>(44/28)*0.0075*(14/62)*Q88/N88</f>
        <v>6.6258101149173784E-2</v>
      </c>
    </row>
    <row r="89" spans="1:18" ht="15.5" customHeight="1">
      <c r="A89" s="44" t="s">
        <v>73</v>
      </c>
      <c r="B89" s="7">
        <v>8.9333161865569277</v>
      </c>
      <c r="C89" s="7">
        <v>480.85022222222216</v>
      </c>
      <c r="D89" s="8">
        <v>43.384668252451753</v>
      </c>
      <c r="E89" s="8">
        <v>14.516806722689076</v>
      </c>
      <c r="F89" s="6">
        <v>0.9</v>
      </c>
      <c r="G89" s="9">
        <f>$G88</f>
        <v>95.881333333333316</v>
      </c>
      <c r="H89" s="9">
        <f t="shared" ref="H89:H92" si="49">D89*100/(3000*L89/1000)</f>
        <v>1.0329682917250418</v>
      </c>
      <c r="I89" s="6">
        <v>11</v>
      </c>
      <c r="J89" s="6">
        <v>0.85</v>
      </c>
      <c r="K89" s="6">
        <v>5000</v>
      </c>
      <c r="L89" s="6">
        <v>1400</v>
      </c>
      <c r="M89" s="6">
        <v>44.7</v>
      </c>
      <c r="N89" s="6">
        <f>$N88</f>
        <v>1.865</v>
      </c>
      <c r="O89" s="6">
        <f t="shared" si="46"/>
        <v>83.365500000000011</v>
      </c>
      <c r="P89" s="10">
        <f t="shared" si="47"/>
        <v>7733.4524514174254</v>
      </c>
      <c r="Q89" s="9">
        <f t="shared" si="48"/>
        <v>40.425629481370422</v>
      </c>
      <c r="R89" s="11">
        <f t="shared" ref="R89:R91" si="50">(44/28)*0.0075*(14/62)*Q89/N89</f>
        <v>5.7685971326006384E-2</v>
      </c>
    </row>
    <row r="90" spans="1:18" ht="15.5" customHeight="1">
      <c r="A90" s="6" t="s">
        <v>62</v>
      </c>
      <c r="B90" s="7">
        <v>9.8491974539919749</v>
      </c>
      <c r="C90" s="7">
        <v>413.15216666666657</v>
      </c>
      <c r="D90" s="8">
        <v>40.264510223317863</v>
      </c>
      <c r="E90" s="8">
        <v>15.6484375</v>
      </c>
      <c r="F90" s="6">
        <v>0.9</v>
      </c>
      <c r="G90" s="9">
        <f>$G89</f>
        <v>95.881333333333316</v>
      </c>
      <c r="H90" s="9">
        <f t="shared" si="49"/>
        <v>0.97257271070816087</v>
      </c>
      <c r="I90" s="6">
        <v>11</v>
      </c>
      <c r="J90" s="6">
        <v>0.85</v>
      </c>
      <c r="K90" s="6">
        <v>5000</v>
      </c>
      <c r="L90" s="6">
        <v>1380</v>
      </c>
      <c r="M90" s="6">
        <v>44.7</v>
      </c>
      <c r="N90" s="6">
        <f>$N89</f>
        <v>1.865</v>
      </c>
      <c r="O90" s="6">
        <f t="shared" si="46"/>
        <v>83.365500000000011</v>
      </c>
      <c r="P90" s="10">
        <f t="shared" si="47"/>
        <v>7177.2745496110265</v>
      </c>
      <c r="Q90" s="9">
        <f t="shared" si="48"/>
        <v>35.578221889710711</v>
      </c>
      <c r="R90" s="11">
        <f t="shared" si="50"/>
        <v>5.0768888798774253E-2</v>
      </c>
    </row>
    <row r="91" spans="1:18" ht="15.5" customHeight="1">
      <c r="A91" s="6" t="s">
        <v>63</v>
      </c>
      <c r="B91" s="7">
        <v>11.505836658768759</v>
      </c>
      <c r="C91" s="7">
        <v>569.06975308641972</v>
      </c>
      <c r="D91" s="8">
        <v>51.96490719257541</v>
      </c>
      <c r="E91" s="8">
        <v>20.983333333333334</v>
      </c>
      <c r="F91" s="6">
        <v>0.9</v>
      </c>
      <c r="G91" s="9">
        <f>$G90</f>
        <v>95.881333333333316</v>
      </c>
      <c r="H91" s="9">
        <f t="shared" si="49"/>
        <v>1.2643529730553629</v>
      </c>
      <c r="I91" s="6">
        <v>11</v>
      </c>
      <c r="J91" s="6">
        <v>0.85</v>
      </c>
      <c r="K91" s="6">
        <v>5000</v>
      </c>
      <c r="L91" s="6">
        <v>1370</v>
      </c>
      <c r="M91" s="6">
        <v>44.7</v>
      </c>
      <c r="N91" s="6">
        <f>$N90</f>
        <v>1.865</v>
      </c>
      <c r="O91" s="6">
        <f t="shared" si="46"/>
        <v>83.365500000000011</v>
      </c>
      <c r="P91" s="10">
        <f t="shared" si="47"/>
        <v>9262.9068079457065</v>
      </c>
      <c r="Q91" s="9">
        <f t="shared" si="48"/>
        <v>39.741702740586319</v>
      </c>
      <c r="R91" s="11">
        <f t="shared" si="50"/>
        <v>5.6710031585200563E-2</v>
      </c>
    </row>
    <row r="92" spans="1:18" ht="15.5" customHeight="1">
      <c r="A92" s="6" t="s">
        <v>60</v>
      </c>
      <c r="B92" s="7">
        <v>10.245233542558644</v>
      </c>
      <c r="C92" s="7">
        <v>490.63079012345656</v>
      </c>
      <c r="D92" s="8">
        <v>45.813515081206447</v>
      </c>
      <c r="E92" s="8">
        <v>12.806666666666667</v>
      </c>
      <c r="F92" s="6">
        <v>0.9</v>
      </c>
      <c r="G92" s="9">
        <f>$G91</f>
        <v>95.881333333333316</v>
      </c>
      <c r="H92" s="9">
        <f t="shared" si="49"/>
        <v>1.1066066444735856</v>
      </c>
      <c r="I92" s="6">
        <v>11</v>
      </c>
      <c r="J92" s="6">
        <v>0.85</v>
      </c>
      <c r="K92" s="6">
        <v>5000</v>
      </c>
      <c r="L92" s="6">
        <v>1380</v>
      </c>
      <c r="M92" s="6">
        <v>44.7</v>
      </c>
      <c r="N92" s="6">
        <f>$N91</f>
        <v>1.865</v>
      </c>
      <c r="O92" s="6">
        <f t="shared" si="46"/>
        <v>83.365500000000011</v>
      </c>
      <c r="P92" s="10">
        <f t="shared" si="47"/>
        <v>8166.401975259615</v>
      </c>
      <c r="Q92" s="9">
        <f t="shared" si="48"/>
        <v>44.517190296864115</v>
      </c>
      <c r="R92" s="11">
        <f>(44/28)*0.0075*(14/62)*Q92/N92</f>
        <v>6.3524486716099435E-2</v>
      </c>
    </row>
    <row r="93" spans="1:18" ht="14.25" customHeight="1">
      <c r="D93" s="19"/>
      <c r="F93" s="19"/>
      <c r="P93" s="41" t="s">
        <v>59</v>
      </c>
      <c r="Q93" s="42">
        <f>AVERAGE(Q88:Q92)</f>
        <v>41.339123713074756</v>
      </c>
      <c r="R93" s="43">
        <f>AVERAGE(R88:R92)</f>
        <v>5.8989495915050885E-2</v>
      </c>
    </row>
  </sheetData>
  <mergeCells count="2">
    <mergeCell ref="A2:C2"/>
    <mergeCell ref="A12:C1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K93"/>
  <sheetViews>
    <sheetView topLeftCell="A7" zoomScale="83" zoomScaleNormal="83" workbookViewId="0">
      <selection activeCell="A12" sqref="A12:C14"/>
    </sheetView>
  </sheetViews>
  <sheetFormatPr defaultColWidth="14.6328125" defaultRowHeight="16.5" customHeight="1"/>
  <cols>
    <col min="1" max="12" width="14.6328125" style="1"/>
    <col min="13" max="13" width="15.81640625" style="1" customWidth="1"/>
    <col min="14" max="17" width="14.6328125" style="1"/>
    <col min="18" max="18" width="20.453125" style="1" customWidth="1"/>
    <col min="19" max="16384" width="14.6328125" style="1"/>
  </cols>
  <sheetData>
    <row r="1" spans="1:19" ht="16.5" customHeight="1">
      <c r="A1" s="1" t="s">
        <v>7</v>
      </c>
    </row>
    <row r="2" spans="1:19" ht="16.5" customHeight="1">
      <c r="A2" s="2" t="s">
        <v>100</v>
      </c>
      <c r="B2" s="2"/>
      <c r="C2" s="2"/>
    </row>
    <row r="3" spans="1:19" ht="16.5" customHeight="1">
      <c r="A3" s="3"/>
      <c r="B3" s="3"/>
      <c r="C3" s="3"/>
    </row>
    <row r="4" spans="1:19" ht="45.5" customHeight="1">
      <c r="A4" s="27" t="s">
        <v>28</v>
      </c>
      <c r="B4" s="27" t="s">
        <v>98</v>
      </c>
      <c r="C4" s="27" t="s">
        <v>79</v>
      </c>
      <c r="D4" s="27" t="s">
        <v>80</v>
      </c>
      <c r="E4" s="27" t="s">
        <v>123</v>
      </c>
      <c r="F4" s="27" t="s">
        <v>81</v>
      </c>
      <c r="G4" s="27" t="s">
        <v>99</v>
      </c>
      <c r="H4" s="27" t="s">
        <v>124</v>
      </c>
      <c r="I4" s="28" t="s">
        <v>125</v>
      </c>
      <c r="J4" s="27" t="s">
        <v>126</v>
      </c>
      <c r="K4" s="27" t="s">
        <v>127</v>
      </c>
      <c r="L4" s="27" t="s">
        <v>129</v>
      </c>
      <c r="M4" s="27" t="s">
        <v>82</v>
      </c>
      <c r="N4" s="27" t="s">
        <v>83</v>
      </c>
      <c r="O4" s="27" t="s">
        <v>84</v>
      </c>
      <c r="P4" s="27" t="s">
        <v>128</v>
      </c>
      <c r="Q4" s="27" t="s">
        <v>85</v>
      </c>
      <c r="R4" s="27" t="s">
        <v>122</v>
      </c>
    </row>
    <row r="5" spans="1:19" ht="16.5" customHeight="1">
      <c r="A5" s="6" t="s">
        <v>33</v>
      </c>
      <c r="B5" s="7">
        <v>12.984630392662524</v>
      </c>
      <c r="C5" s="7">
        <v>415.96019277108439</v>
      </c>
      <c r="D5" s="8">
        <v>29.105231644337994</v>
      </c>
      <c r="E5" s="8">
        <v>18.951612903225808</v>
      </c>
      <c r="F5" s="6">
        <v>0.9</v>
      </c>
      <c r="G5" s="9">
        <v>36.74</v>
      </c>
      <c r="H5" s="9">
        <f>D5*100/(3000*L5/1000)</f>
        <v>0.6737322139893055</v>
      </c>
      <c r="I5" s="6">
        <v>11</v>
      </c>
      <c r="J5" s="6">
        <v>0.85</v>
      </c>
      <c r="K5" s="10">
        <v>5000</v>
      </c>
      <c r="L5" s="10">
        <v>1440</v>
      </c>
      <c r="M5" s="6">
        <v>44.7</v>
      </c>
      <c r="N5" s="6">
        <f>'[1]Crop&amp;input data'!B12</f>
        <v>1.865</v>
      </c>
      <c r="O5" s="9">
        <f t="shared" ref="O5:O6" si="0">M5*N5</f>
        <v>83.365500000000011</v>
      </c>
      <c r="P5" s="10">
        <f>((H5/100)*K5*L5)/I5*J5</f>
        <v>3748.4010451041358</v>
      </c>
      <c r="Q5" s="9">
        <f>(21.37+(C5/(E5*F5))*((0.0037*G5)+(0.0000601*P5)-(0.00362*O5)))</f>
        <v>22.819427611073429</v>
      </c>
      <c r="R5" s="11">
        <f t="shared" ref="R5:R9" si="1">(44/28)*0.0075*(14/62)*Q5/N5</f>
        <v>3.2562531832803901E-2</v>
      </c>
    </row>
    <row r="6" spans="1:19" ht="16.5" customHeight="1">
      <c r="A6" s="6" t="s">
        <v>36</v>
      </c>
      <c r="B6" s="7">
        <v>17.701178451178453</v>
      </c>
      <c r="C6" s="7">
        <v>482.54920000000004</v>
      </c>
      <c r="D6" s="8">
        <v>29.979171060957594</v>
      </c>
      <c r="E6" s="8">
        <v>23.704545454545453</v>
      </c>
      <c r="F6" s="6">
        <v>0.9</v>
      </c>
      <c r="G6" s="9">
        <f>$G5</f>
        <v>36.74</v>
      </c>
      <c r="H6" s="9">
        <f t="shared" ref="H6:H9" si="2">D6*100/(3000*L6/1000)</f>
        <v>0.68445596029583544</v>
      </c>
      <c r="I6" s="6">
        <v>11</v>
      </c>
      <c r="J6" s="6">
        <v>0.85</v>
      </c>
      <c r="K6" s="10">
        <v>5000</v>
      </c>
      <c r="L6" s="10">
        <v>1460</v>
      </c>
      <c r="M6" s="6">
        <v>44.7</v>
      </c>
      <c r="N6" s="9">
        <f>$N5</f>
        <v>1.865</v>
      </c>
      <c r="O6" s="9">
        <f t="shared" si="0"/>
        <v>83.365500000000011</v>
      </c>
      <c r="P6" s="10">
        <f t="shared" ref="P6:P9" si="3">((H6/100)*K6*L6)/I6*J6</f>
        <v>3860.9538487596897</v>
      </c>
      <c r="Q6" s="9">
        <f t="shared" ref="Q5:Q9" si="4">(21.37+(C6/(E6*F6))*((0.0037*G6)+(0.0000601*P6)-(0.00362*O6)))</f>
        <v>22.867316968328197</v>
      </c>
      <c r="R6" s="11">
        <f t="shared" si="1"/>
        <v>3.2630868284823589E-2</v>
      </c>
    </row>
    <row r="7" spans="1:19" ht="16.5" customHeight="1">
      <c r="A7" s="6" t="s">
        <v>35</v>
      </c>
      <c r="B7" s="7">
        <v>16.958670033670035</v>
      </c>
      <c r="C7" s="7">
        <v>615.03559999999993</v>
      </c>
      <c r="D7" s="8">
        <v>18.924013921113691</v>
      </c>
      <c r="E7" s="8">
        <v>14</v>
      </c>
      <c r="F7" s="6">
        <v>0.9</v>
      </c>
      <c r="G7" s="9">
        <f t="shared" ref="G7:G9" si="5">$G6</f>
        <v>36.74</v>
      </c>
      <c r="H7" s="9">
        <f t="shared" si="2"/>
        <v>0.43503480278422274</v>
      </c>
      <c r="I7" s="6">
        <v>11</v>
      </c>
      <c r="J7" s="6">
        <v>0.85</v>
      </c>
      <c r="K7" s="10">
        <v>5000</v>
      </c>
      <c r="L7" s="10">
        <v>1450</v>
      </c>
      <c r="M7" s="6">
        <v>44.7</v>
      </c>
      <c r="N7" s="9">
        <f t="shared" ref="N7:N9" si="6">$N6</f>
        <v>1.865</v>
      </c>
      <c r="O7" s="9">
        <f t="shared" ref="O7" si="7">M7*N7</f>
        <v>83.365500000000011</v>
      </c>
      <c r="P7" s="10">
        <f t="shared" si="3"/>
        <v>2437.1836110525201</v>
      </c>
      <c r="Q7" s="9">
        <f t="shared" si="4"/>
        <v>20.424486492426077</v>
      </c>
      <c r="R7" s="11">
        <f t="shared" si="1"/>
        <v>2.9145033912049659E-2</v>
      </c>
    </row>
    <row r="8" spans="1:19" ht="16.5" customHeight="1">
      <c r="A8" s="6" t="s">
        <v>32</v>
      </c>
      <c r="B8" s="7">
        <v>13.465329218106993</v>
      </c>
      <c r="C8" s="7">
        <v>449.76187654320978</v>
      </c>
      <c r="D8" s="8">
        <v>33.711358673399751</v>
      </c>
      <c r="E8" s="8">
        <v>19.661764705882351</v>
      </c>
      <c r="F8" s="6">
        <v>0.9</v>
      </c>
      <c r="G8" s="9">
        <f t="shared" si="5"/>
        <v>36.74</v>
      </c>
      <c r="H8" s="9">
        <f t="shared" si="2"/>
        <v>0.79134644773238849</v>
      </c>
      <c r="I8" s="6">
        <v>11</v>
      </c>
      <c r="J8" s="6">
        <v>0.85</v>
      </c>
      <c r="K8" s="10">
        <v>5000</v>
      </c>
      <c r="L8" s="10">
        <v>1420</v>
      </c>
      <c r="M8" s="6">
        <v>44.7</v>
      </c>
      <c r="N8" s="9">
        <f t="shared" si="6"/>
        <v>1.865</v>
      </c>
      <c r="O8" s="9">
        <f>M8*N8</f>
        <v>83.365500000000011</v>
      </c>
      <c r="P8" s="10">
        <f t="shared" si="3"/>
        <v>4341.6143746045136</v>
      </c>
      <c r="Q8" s="9">
        <f t="shared" si="4"/>
        <v>23.786761653018598</v>
      </c>
      <c r="R8" s="11">
        <f t="shared" si="1"/>
        <v>3.3942883963919979E-2</v>
      </c>
    </row>
    <row r="9" spans="1:19" ht="16.5" customHeight="1">
      <c r="A9" s="6" t="s">
        <v>34</v>
      </c>
      <c r="B9" s="7">
        <v>16.795987654320989</v>
      </c>
      <c r="C9" s="7">
        <v>534.00959999999998</v>
      </c>
      <c r="D9" s="8">
        <v>26.764527525838439</v>
      </c>
      <c r="E9" s="8">
        <v>17.280303030303031</v>
      </c>
      <c r="F9" s="6">
        <v>0.9</v>
      </c>
      <c r="G9" s="9">
        <f t="shared" si="5"/>
        <v>36.74</v>
      </c>
      <c r="H9" s="9">
        <f t="shared" si="2"/>
        <v>0.61527649484686064</v>
      </c>
      <c r="I9" s="6">
        <v>11</v>
      </c>
      <c r="J9" s="6">
        <v>0.85</v>
      </c>
      <c r="K9" s="10">
        <v>5000</v>
      </c>
      <c r="L9" s="10">
        <v>1450</v>
      </c>
      <c r="M9" s="6">
        <v>44.7</v>
      </c>
      <c r="N9" s="9">
        <f t="shared" si="6"/>
        <v>1.865</v>
      </c>
      <c r="O9" s="9">
        <f>M9*N9</f>
        <v>83.365500000000011</v>
      </c>
      <c r="P9" s="10">
        <f t="shared" si="3"/>
        <v>3446.9467268125259</v>
      </c>
      <c r="Q9" s="9">
        <f t="shared" si="4"/>
        <v>22.788657476403561</v>
      </c>
      <c r="R9" s="11">
        <f t="shared" si="1"/>
        <v>3.2518623917725392E-2</v>
      </c>
    </row>
    <row r="10" spans="1:19" ht="16" customHeight="1">
      <c r="D10" s="19"/>
      <c r="F10" s="19"/>
      <c r="P10" s="41" t="s">
        <v>59</v>
      </c>
      <c r="Q10" s="42">
        <f>AVERAGE(Q5:Q9)</f>
        <v>22.537330040249973</v>
      </c>
      <c r="R10" s="43">
        <f>AVERAGE(R5:R9)</f>
        <v>3.2159988382264505E-2</v>
      </c>
    </row>
    <row r="11" spans="1:19" ht="16.5" customHeight="1">
      <c r="E11" s="47"/>
      <c r="J11" s="39"/>
      <c r="R11" s="23"/>
      <c r="S11" s="26"/>
    </row>
    <row r="12" spans="1:19" ht="16.5" customHeight="1">
      <c r="A12" s="21" t="s">
        <v>121</v>
      </c>
      <c r="B12" s="21"/>
      <c r="C12" s="21"/>
    </row>
    <row r="13" spans="1:19" ht="16.5" customHeight="1">
      <c r="A13" s="35"/>
      <c r="B13" s="35"/>
      <c r="C13" s="35"/>
      <c r="D13" s="35"/>
      <c r="E13" s="35"/>
      <c r="H13" s="35"/>
      <c r="I13" s="36"/>
      <c r="J13" s="35"/>
      <c r="K13" s="35"/>
      <c r="L13" s="35"/>
      <c r="M13" s="35"/>
      <c r="N13" s="35"/>
      <c r="O13" s="35"/>
      <c r="P13" s="35"/>
      <c r="Q13" s="35"/>
      <c r="R13" s="35"/>
    </row>
    <row r="14" spans="1:19" ht="16.5" customHeight="1">
      <c r="A14" s="22" t="s">
        <v>101</v>
      </c>
      <c r="B14" s="35"/>
      <c r="C14" s="35"/>
      <c r="D14" s="35"/>
      <c r="E14" s="35"/>
      <c r="F14" s="35"/>
      <c r="G14" s="35"/>
      <c r="H14" s="35"/>
      <c r="I14" s="36"/>
      <c r="J14" s="35"/>
      <c r="K14" s="35"/>
      <c r="L14" s="35"/>
      <c r="M14" s="35"/>
      <c r="N14" s="35"/>
      <c r="O14" s="35"/>
      <c r="P14" s="35"/>
      <c r="Q14" s="35"/>
      <c r="R14" s="35"/>
    </row>
    <row r="15" spans="1:19" ht="45.5" customHeight="1">
      <c r="A15" s="27" t="s">
        <v>28</v>
      </c>
      <c r="B15" s="27" t="s">
        <v>98</v>
      </c>
      <c r="C15" s="27" t="s">
        <v>79</v>
      </c>
      <c r="D15" s="27" t="s">
        <v>80</v>
      </c>
      <c r="E15" s="27" t="s">
        <v>123</v>
      </c>
      <c r="F15" s="27" t="s">
        <v>81</v>
      </c>
      <c r="G15" s="27" t="s">
        <v>99</v>
      </c>
      <c r="H15" s="27" t="s">
        <v>124</v>
      </c>
      <c r="I15" s="28" t="s">
        <v>125</v>
      </c>
      <c r="J15" s="27" t="s">
        <v>126</v>
      </c>
      <c r="K15" s="27" t="s">
        <v>127</v>
      </c>
      <c r="L15" s="27" t="s">
        <v>129</v>
      </c>
      <c r="M15" s="27" t="s">
        <v>82</v>
      </c>
      <c r="N15" s="27" t="s">
        <v>83</v>
      </c>
      <c r="O15" s="27" t="s">
        <v>84</v>
      </c>
      <c r="P15" s="27" t="s">
        <v>128</v>
      </c>
      <c r="Q15" s="27" t="s">
        <v>85</v>
      </c>
      <c r="R15" s="27" t="s">
        <v>122</v>
      </c>
    </row>
    <row r="16" spans="1:19" ht="16.5" customHeight="1">
      <c r="A16" s="6" t="s">
        <v>33</v>
      </c>
      <c r="B16" s="7">
        <v>12.984630392662524</v>
      </c>
      <c r="C16" s="7">
        <v>415.96019277108439</v>
      </c>
      <c r="D16" s="8">
        <v>29.105231644337994</v>
      </c>
      <c r="E16" s="8">
        <v>18.951612903225808</v>
      </c>
      <c r="F16" s="6">
        <v>0.9</v>
      </c>
      <c r="G16" s="9">
        <f>'Summary N2O from residue'!H10*1000</f>
        <v>31.960444444444445</v>
      </c>
      <c r="H16" s="9">
        <f>D16*100/(3000*L16/1000)</f>
        <v>0.6737322139893055</v>
      </c>
      <c r="I16" s="6">
        <v>11</v>
      </c>
      <c r="J16" s="6">
        <v>0.85</v>
      </c>
      <c r="K16" s="10">
        <v>5000</v>
      </c>
      <c r="L16" s="10">
        <v>1440</v>
      </c>
      <c r="M16" s="6">
        <v>44.7</v>
      </c>
      <c r="N16" s="9">
        <f>N5</f>
        <v>1.865</v>
      </c>
      <c r="O16" s="9">
        <f t="shared" ref="O16:O18" si="8">M16*N16</f>
        <v>83.365500000000011</v>
      </c>
      <c r="P16" s="10">
        <f>((H16/100)*K16*L16)/I16*J16</f>
        <v>3748.4010451041358</v>
      </c>
      <c r="Q16" s="9">
        <f t="shared" ref="Q16:Q20" si="9">(21.37+(C16/(E16*F16))*((0.0037*G16)+(0.0000601*P16)-(0.00362*O16)))</f>
        <v>22.38815455892485</v>
      </c>
      <c r="R16" s="11">
        <f t="shared" ref="R16:R20" si="10">(44/28)*0.0075*(14/62)*Q16/N16</f>
        <v>3.1947120143756808E-2</v>
      </c>
    </row>
    <row r="17" spans="1:115" ht="16.5" customHeight="1">
      <c r="A17" s="6" t="s">
        <v>36</v>
      </c>
      <c r="B17" s="7">
        <v>17.701178451178453</v>
      </c>
      <c r="C17" s="7">
        <v>482.54920000000004</v>
      </c>
      <c r="D17" s="8">
        <v>29.979171060957594</v>
      </c>
      <c r="E17" s="8">
        <v>23.704545454545453</v>
      </c>
      <c r="F17" s="6">
        <v>0.9</v>
      </c>
      <c r="G17" s="9">
        <f>$G16</f>
        <v>31.960444444444445</v>
      </c>
      <c r="H17" s="9">
        <f t="shared" ref="H17:H20" si="11">D17*100/(3000*L17/1000)</f>
        <v>0.68445596029583544</v>
      </c>
      <c r="I17" s="6">
        <v>11</v>
      </c>
      <c r="J17" s="6">
        <v>0.85</v>
      </c>
      <c r="K17" s="10">
        <v>5000</v>
      </c>
      <c r="L17" s="10">
        <v>1460</v>
      </c>
      <c r="M17" s="6">
        <v>44.7</v>
      </c>
      <c r="N17" s="9">
        <f>$N16</f>
        <v>1.865</v>
      </c>
      <c r="O17" s="9">
        <f t="shared" si="8"/>
        <v>83.365500000000011</v>
      </c>
      <c r="P17" s="10">
        <f t="shared" ref="P17:P20" si="12">((H17/100)*K17*L17)/I17*J17</f>
        <v>3860.9538487596897</v>
      </c>
      <c r="Q17" s="9">
        <f t="shared" si="9"/>
        <v>22.467320002804229</v>
      </c>
      <c r="R17" s="11">
        <f t="shared" si="10"/>
        <v>3.206008648674822E-2</v>
      </c>
    </row>
    <row r="18" spans="1:115" ht="16.5" customHeight="1">
      <c r="A18" s="6" t="s">
        <v>35</v>
      </c>
      <c r="B18" s="7">
        <v>16.958670033670035</v>
      </c>
      <c r="C18" s="7">
        <v>615.03559999999993</v>
      </c>
      <c r="D18" s="8">
        <v>18.924013921113691</v>
      </c>
      <c r="E18" s="8">
        <v>14</v>
      </c>
      <c r="F18" s="6">
        <v>0.9</v>
      </c>
      <c r="G18" s="9">
        <f t="shared" ref="G18:G20" si="13">$G17</f>
        <v>31.960444444444445</v>
      </c>
      <c r="H18" s="9">
        <f t="shared" si="11"/>
        <v>0.43503480278422274</v>
      </c>
      <c r="I18" s="6">
        <v>11</v>
      </c>
      <c r="J18" s="6">
        <v>0.85</v>
      </c>
      <c r="K18" s="10">
        <v>5000</v>
      </c>
      <c r="L18" s="10">
        <v>1450</v>
      </c>
      <c r="M18" s="6">
        <v>44.7</v>
      </c>
      <c r="N18" s="9">
        <f t="shared" ref="N18:N20" si="14">$N17</f>
        <v>1.865</v>
      </c>
      <c r="O18" s="9">
        <f t="shared" si="8"/>
        <v>83.365500000000011</v>
      </c>
      <c r="P18" s="10">
        <f t="shared" si="12"/>
        <v>2437.1836110525201</v>
      </c>
      <c r="Q18" s="9">
        <f t="shared" si="9"/>
        <v>19.561271553559056</v>
      </c>
      <c r="R18" s="11">
        <f t="shared" si="10"/>
        <v>2.791325613021918E-2</v>
      </c>
    </row>
    <row r="19" spans="1:115" ht="16.5" customHeight="1">
      <c r="A19" s="6" t="s">
        <v>32</v>
      </c>
      <c r="B19" s="7">
        <v>13.465329218106993</v>
      </c>
      <c r="C19" s="7">
        <v>449.76187654320978</v>
      </c>
      <c r="D19" s="8">
        <v>33.711358673399751</v>
      </c>
      <c r="E19" s="8">
        <v>19.661764705882351</v>
      </c>
      <c r="F19" s="6">
        <v>0.9</v>
      </c>
      <c r="G19" s="9">
        <f t="shared" si="13"/>
        <v>31.960444444444445</v>
      </c>
      <c r="H19" s="9">
        <f t="shared" si="11"/>
        <v>0.79134644773238849</v>
      </c>
      <c r="I19" s="6">
        <v>11</v>
      </c>
      <c r="J19" s="6">
        <v>0.85</v>
      </c>
      <c r="K19" s="10">
        <v>5000</v>
      </c>
      <c r="L19" s="10">
        <v>1420</v>
      </c>
      <c r="M19" s="6">
        <v>44.7</v>
      </c>
      <c r="N19" s="9">
        <f t="shared" si="14"/>
        <v>1.865</v>
      </c>
      <c r="O19" s="9">
        <f>M19*N19</f>
        <v>83.365500000000011</v>
      </c>
      <c r="P19" s="10">
        <f t="shared" si="12"/>
        <v>4341.6143746045136</v>
      </c>
      <c r="Q19" s="9">
        <f t="shared" si="9"/>
        <v>23.337285273122951</v>
      </c>
      <c r="R19" s="11">
        <f t="shared" si="10"/>
        <v>3.3301496757461614E-2</v>
      </c>
    </row>
    <row r="20" spans="1:115" ht="16.5" customHeight="1">
      <c r="A20" s="6" t="s">
        <v>34</v>
      </c>
      <c r="B20" s="7">
        <v>16.795987654320989</v>
      </c>
      <c r="C20" s="7">
        <v>534.00959999999998</v>
      </c>
      <c r="D20" s="8">
        <v>26.764527525838439</v>
      </c>
      <c r="E20" s="8">
        <v>17.280303030303031</v>
      </c>
      <c r="F20" s="6">
        <v>0.9</v>
      </c>
      <c r="G20" s="9">
        <f t="shared" si="13"/>
        <v>31.960444444444445</v>
      </c>
      <c r="H20" s="9">
        <f t="shared" si="11"/>
        <v>0.61527649484686064</v>
      </c>
      <c r="I20" s="6">
        <v>11</v>
      </c>
      <c r="J20" s="6">
        <v>0.85</v>
      </c>
      <c r="K20" s="10">
        <v>5000</v>
      </c>
      <c r="L20" s="10">
        <v>1450</v>
      </c>
      <c r="M20" s="6">
        <v>44.7</v>
      </c>
      <c r="N20" s="9">
        <f t="shared" si="14"/>
        <v>1.865</v>
      </c>
      <c r="O20" s="9">
        <f>M20*N20</f>
        <v>83.365500000000011</v>
      </c>
      <c r="P20" s="10">
        <f t="shared" si="12"/>
        <v>3446.9467268125259</v>
      </c>
      <c r="Q20" s="9">
        <f t="shared" si="9"/>
        <v>22.181439753175265</v>
      </c>
      <c r="R20" s="11">
        <f t="shared" si="10"/>
        <v>3.1652145284735089E-2</v>
      </c>
    </row>
    <row r="21" spans="1:115" ht="16" customHeight="1">
      <c r="D21" s="19"/>
      <c r="F21" s="19"/>
      <c r="P21" s="41" t="s">
        <v>59</v>
      </c>
      <c r="Q21" s="42">
        <f>AVERAGE(Q16:Q20)</f>
        <v>21.987094228317268</v>
      </c>
      <c r="R21" s="43">
        <f>AVERAGE(R16:R20)</f>
        <v>3.1374820960584179E-2</v>
      </c>
    </row>
    <row r="23" spans="1:115" ht="16.5" customHeight="1">
      <c r="A23" s="22" t="s">
        <v>102</v>
      </c>
      <c r="B23" s="35"/>
      <c r="C23" s="35"/>
      <c r="D23" s="35"/>
      <c r="E23" s="35"/>
      <c r="F23" s="35"/>
      <c r="G23" s="35"/>
      <c r="H23" s="35"/>
      <c r="I23" s="36"/>
      <c r="J23" s="35"/>
      <c r="K23" s="35"/>
      <c r="L23" s="35"/>
      <c r="M23" s="35"/>
      <c r="N23" s="35"/>
      <c r="O23" s="35"/>
      <c r="P23" s="35"/>
      <c r="Q23" s="35"/>
      <c r="R23" s="35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  <c r="BF23" s="48"/>
      <c r="BG23" s="48"/>
      <c r="BH23" s="48"/>
      <c r="BI23" s="48"/>
      <c r="BJ23" s="48"/>
      <c r="BK23" s="48"/>
      <c r="BL23" s="48"/>
      <c r="BM23" s="48"/>
      <c r="BN23" s="48"/>
      <c r="BO23" s="48"/>
      <c r="BP23" s="48"/>
      <c r="BQ23" s="48"/>
      <c r="BR23" s="48"/>
      <c r="BS23" s="48"/>
      <c r="BT23" s="48"/>
      <c r="BU23" s="48"/>
      <c r="BV23" s="48"/>
      <c r="BW23" s="48"/>
      <c r="BX23" s="48"/>
      <c r="BY23" s="48"/>
      <c r="BZ23" s="48"/>
      <c r="CA23" s="48"/>
      <c r="CB23" s="48"/>
      <c r="CC23" s="48"/>
      <c r="CD23" s="48"/>
      <c r="CE23" s="48"/>
      <c r="CF23" s="48"/>
      <c r="CG23" s="48"/>
      <c r="CH23" s="48"/>
      <c r="CI23" s="48"/>
      <c r="CJ23" s="48"/>
      <c r="CK23" s="48"/>
      <c r="CL23" s="48"/>
      <c r="CM23" s="48"/>
      <c r="CN23" s="48"/>
      <c r="CO23" s="48"/>
      <c r="CP23" s="48"/>
      <c r="CQ23" s="48"/>
      <c r="CR23" s="48"/>
      <c r="CS23" s="48"/>
      <c r="CT23" s="48"/>
      <c r="CU23" s="48"/>
      <c r="CV23" s="48"/>
      <c r="CW23" s="48"/>
      <c r="CX23" s="48"/>
      <c r="CY23" s="48"/>
      <c r="CZ23" s="48"/>
      <c r="DA23" s="48"/>
      <c r="DB23" s="48"/>
      <c r="DC23" s="48"/>
      <c r="DD23" s="48"/>
      <c r="DE23" s="48"/>
      <c r="DF23" s="48"/>
      <c r="DG23" s="48"/>
      <c r="DH23" s="48"/>
      <c r="DI23" s="48"/>
      <c r="DJ23" s="48"/>
      <c r="DK23" s="48"/>
    </row>
    <row r="24" spans="1:115" ht="45.5" customHeight="1">
      <c r="A24" s="27" t="s">
        <v>28</v>
      </c>
      <c r="B24" s="27" t="s">
        <v>98</v>
      </c>
      <c r="C24" s="27" t="s">
        <v>79</v>
      </c>
      <c r="D24" s="27" t="s">
        <v>80</v>
      </c>
      <c r="E24" s="27" t="s">
        <v>123</v>
      </c>
      <c r="F24" s="27" t="s">
        <v>81</v>
      </c>
      <c r="G24" s="27" t="s">
        <v>99</v>
      </c>
      <c r="H24" s="27" t="s">
        <v>124</v>
      </c>
      <c r="I24" s="28" t="s">
        <v>125</v>
      </c>
      <c r="J24" s="27" t="s">
        <v>126</v>
      </c>
      <c r="K24" s="27" t="s">
        <v>127</v>
      </c>
      <c r="L24" s="27" t="s">
        <v>129</v>
      </c>
      <c r="M24" s="27" t="s">
        <v>82</v>
      </c>
      <c r="N24" s="27" t="s">
        <v>83</v>
      </c>
      <c r="O24" s="27" t="s">
        <v>84</v>
      </c>
      <c r="P24" s="27" t="s">
        <v>128</v>
      </c>
      <c r="Q24" s="27" t="s">
        <v>85</v>
      </c>
      <c r="R24" s="27" t="s">
        <v>122</v>
      </c>
    </row>
    <row r="25" spans="1:115" ht="16.5" customHeight="1">
      <c r="A25" s="6" t="s">
        <v>33</v>
      </c>
      <c r="B25" s="7">
        <v>12.984630392662524</v>
      </c>
      <c r="C25" s="7">
        <v>415.96019277108439</v>
      </c>
      <c r="D25" s="8">
        <v>29.105231644337994</v>
      </c>
      <c r="E25" s="8">
        <v>18.951612903225808</v>
      </c>
      <c r="F25" s="6">
        <v>0.9</v>
      </c>
      <c r="G25" s="9">
        <f>'Summary N2O from residue'!H11*1000</f>
        <v>42.164888888888889</v>
      </c>
      <c r="H25" s="9">
        <f>D25*100/(3000*L25/1000)</f>
        <v>0.6737322139893055</v>
      </c>
      <c r="I25" s="6">
        <v>11</v>
      </c>
      <c r="J25" s="6">
        <v>0.85</v>
      </c>
      <c r="K25" s="10">
        <v>5000</v>
      </c>
      <c r="L25" s="10">
        <v>1440</v>
      </c>
      <c r="M25" s="6">
        <v>44.7</v>
      </c>
      <c r="N25" s="9">
        <f>N16</f>
        <v>1.865</v>
      </c>
      <c r="O25" s="9">
        <f t="shared" ref="O25:O27" si="15">M25*N25</f>
        <v>83.365500000000011</v>
      </c>
      <c r="P25" s="10">
        <f>((H25/100)*K25*L25)/I25*J25</f>
        <v>3748.4010451041358</v>
      </c>
      <c r="Q25" s="9">
        <f t="shared" ref="Q25:Q29" si="16">(21.37+(C25/(E25*F25))*((0.0037*G25)+(0.0000601*P25)-(0.00362*O25)))</f>
        <v>23.308930946997318</v>
      </c>
      <c r="R25" s="11">
        <f t="shared" ref="R25:R29" si="17">(44/28)*0.0075*(14/62)*Q25/N25</f>
        <v>3.3261036117396496E-2</v>
      </c>
      <c r="S25" s="50"/>
      <c r="T25" s="50"/>
      <c r="U25" s="50"/>
      <c r="V25" s="50"/>
      <c r="W25" s="50"/>
      <c r="X25" s="50"/>
      <c r="Y25" s="50"/>
      <c r="Z25" s="50"/>
      <c r="AA25" s="50"/>
      <c r="AB25" s="50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  <c r="AY25" s="50"/>
      <c r="AZ25" s="50"/>
      <c r="BA25" s="50"/>
      <c r="BB25" s="50"/>
      <c r="BC25" s="50"/>
      <c r="BD25" s="50"/>
      <c r="BE25" s="50"/>
      <c r="BF25" s="50"/>
      <c r="BG25" s="50"/>
      <c r="BH25" s="50"/>
      <c r="BI25" s="50"/>
      <c r="BJ25" s="50"/>
      <c r="BK25" s="50"/>
      <c r="BL25" s="50"/>
      <c r="BM25" s="50"/>
      <c r="BN25" s="50"/>
      <c r="BO25" s="50"/>
      <c r="BP25" s="50"/>
      <c r="BQ25" s="50"/>
      <c r="BR25" s="50"/>
      <c r="BS25" s="50"/>
      <c r="BT25" s="50"/>
      <c r="BU25" s="50"/>
      <c r="BV25" s="50"/>
      <c r="BW25" s="50"/>
      <c r="BX25" s="50"/>
      <c r="BY25" s="50"/>
      <c r="BZ25" s="50"/>
      <c r="CA25" s="50"/>
      <c r="CB25" s="50"/>
      <c r="CC25" s="50"/>
      <c r="CD25" s="50"/>
      <c r="CE25" s="50"/>
      <c r="CF25" s="50"/>
      <c r="CG25" s="50"/>
      <c r="CH25" s="50"/>
      <c r="CI25" s="50"/>
      <c r="CJ25" s="50"/>
      <c r="CK25" s="50"/>
      <c r="CL25" s="50"/>
      <c r="CM25" s="50"/>
      <c r="CN25" s="50"/>
      <c r="CO25" s="50"/>
      <c r="CP25" s="50"/>
      <c r="CQ25" s="50"/>
      <c r="CR25" s="50"/>
      <c r="CS25" s="50"/>
      <c r="CT25" s="50"/>
      <c r="CU25" s="50"/>
      <c r="CV25" s="50"/>
      <c r="CW25" s="50"/>
      <c r="CX25" s="50"/>
      <c r="CY25" s="50"/>
      <c r="CZ25" s="50"/>
      <c r="DA25" s="50"/>
      <c r="DB25" s="48"/>
      <c r="DC25" s="48"/>
      <c r="DD25" s="48"/>
      <c r="DE25" s="48"/>
      <c r="DF25" s="48"/>
      <c r="DG25" s="48"/>
      <c r="DH25" s="48"/>
      <c r="DI25" s="48"/>
      <c r="DJ25" s="48"/>
      <c r="DK25" s="48"/>
    </row>
    <row r="26" spans="1:115" ht="16.5" customHeight="1">
      <c r="A26" s="6" t="s">
        <v>36</v>
      </c>
      <c r="B26" s="7">
        <v>17.701178451178453</v>
      </c>
      <c r="C26" s="7">
        <v>482.54920000000004</v>
      </c>
      <c r="D26" s="8">
        <v>29.979171060957594</v>
      </c>
      <c r="E26" s="8">
        <v>23.704545454545453</v>
      </c>
      <c r="F26" s="6">
        <v>0.9</v>
      </c>
      <c r="G26" s="9">
        <f>$G25</f>
        <v>42.164888888888889</v>
      </c>
      <c r="H26" s="9">
        <f t="shared" ref="H26:H29" si="18">D26*100/(3000*L26/1000)</f>
        <v>0.68445596029583544</v>
      </c>
      <c r="I26" s="6">
        <v>11</v>
      </c>
      <c r="J26" s="6">
        <v>0.85</v>
      </c>
      <c r="K26" s="10">
        <v>5000</v>
      </c>
      <c r="L26" s="10">
        <v>1460</v>
      </c>
      <c r="M26" s="6">
        <v>44.7</v>
      </c>
      <c r="N26" s="9">
        <f>$N25</f>
        <v>1.865</v>
      </c>
      <c r="O26" s="9">
        <f t="shared" si="15"/>
        <v>83.365500000000011</v>
      </c>
      <c r="P26" s="10">
        <f t="shared" ref="P26:P29" si="19">((H26/100)*K26*L26)/I26*J26</f>
        <v>3860.9538487596897</v>
      </c>
      <c r="Q26" s="9">
        <f t="shared" si="16"/>
        <v>23.321321335185701</v>
      </c>
      <c r="R26" s="11">
        <f t="shared" si="17"/>
        <v>3.3278716771647843E-2</v>
      </c>
    </row>
    <row r="27" spans="1:115" ht="16.5" customHeight="1">
      <c r="A27" s="6" t="s">
        <v>35</v>
      </c>
      <c r="B27" s="7">
        <v>16.958670033670035</v>
      </c>
      <c r="C27" s="7">
        <v>615.03559999999993</v>
      </c>
      <c r="D27" s="8">
        <v>18.924013921113691</v>
      </c>
      <c r="E27" s="8">
        <v>14</v>
      </c>
      <c r="F27" s="6">
        <v>0.9</v>
      </c>
      <c r="G27" s="9">
        <f t="shared" ref="G27:G29" si="20">$G26</f>
        <v>42.164888888888889</v>
      </c>
      <c r="H27" s="9">
        <f t="shared" si="18"/>
        <v>0.43503480278422274</v>
      </c>
      <c r="I27" s="6">
        <v>11</v>
      </c>
      <c r="J27" s="6">
        <v>0.85</v>
      </c>
      <c r="K27" s="10">
        <v>5000</v>
      </c>
      <c r="L27" s="10">
        <v>1450</v>
      </c>
      <c r="M27" s="6">
        <v>44.7</v>
      </c>
      <c r="N27" s="9">
        <f t="shared" ref="N27:N29" si="21">$N26</f>
        <v>1.865</v>
      </c>
      <c r="O27" s="9">
        <f t="shared" si="15"/>
        <v>83.365500000000011</v>
      </c>
      <c r="P27" s="10">
        <f t="shared" si="19"/>
        <v>2437.1836110525201</v>
      </c>
      <c r="Q27" s="9">
        <f t="shared" si="16"/>
        <v>21.404252304571404</v>
      </c>
      <c r="R27" s="11">
        <f t="shared" si="17"/>
        <v>3.0543125748112784E-2</v>
      </c>
    </row>
    <row r="28" spans="1:115" ht="16.5" customHeight="1">
      <c r="A28" s="6" t="s">
        <v>32</v>
      </c>
      <c r="B28" s="7">
        <v>13.465329218106993</v>
      </c>
      <c r="C28" s="7">
        <v>449.76187654320978</v>
      </c>
      <c r="D28" s="8">
        <v>33.711358673399751</v>
      </c>
      <c r="E28" s="8">
        <v>19.661764705882351</v>
      </c>
      <c r="F28" s="6">
        <v>0.9</v>
      </c>
      <c r="G28" s="9">
        <f t="shared" si="20"/>
        <v>42.164888888888889</v>
      </c>
      <c r="H28" s="9">
        <f t="shared" si="18"/>
        <v>0.79134644773238849</v>
      </c>
      <c r="I28" s="6">
        <v>11</v>
      </c>
      <c r="J28" s="6">
        <v>0.85</v>
      </c>
      <c r="K28" s="10">
        <v>5000</v>
      </c>
      <c r="L28" s="10">
        <v>1420</v>
      </c>
      <c r="M28" s="6">
        <v>44.7</v>
      </c>
      <c r="N28" s="9">
        <f t="shared" si="21"/>
        <v>1.865</v>
      </c>
      <c r="O28" s="9">
        <f>M28*N28</f>
        <v>83.365500000000011</v>
      </c>
      <c r="P28" s="10">
        <f t="shared" si="19"/>
        <v>4341.6143746045136</v>
      </c>
      <c r="Q28" s="9">
        <f t="shared" si="16"/>
        <v>24.29692612140304</v>
      </c>
      <c r="R28" s="11">
        <f t="shared" si="17"/>
        <v>3.4670870968014363E-2</v>
      </c>
    </row>
    <row r="29" spans="1:115" ht="16.5" customHeight="1">
      <c r="A29" s="6" t="s">
        <v>34</v>
      </c>
      <c r="B29" s="7">
        <v>16.795987654320989</v>
      </c>
      <c r="C29" s="7">
        <v>534.00959999999998</v>
      </c>
      <c r="D29" s="8">
        <v>26.764527525838439</v>
      </c>
      <c r="E29" s="8">
        <v>17.280303030303031</v>
      </c>
      <c r="F29" s="6">
        <v>0.9</v>
      </c>
      <c r="G29" s="9">
        <f t="shared" si="20"/>
        <v>42.164888888888889</v>
      </c>
      <c r="H29" s="9">
        <f t="shared" si="18"/>
        <v>0.61527649484686064</v>
      </c>
      <c r="I29" s="6">
        <v>11</v>
      </c>
      <c r="J29" s="6">
        <v>0.85</v>
      </c>
      <c r="K29" s="10">
        <v>5000</v>
      </c>
      <c r="L29" s="10">
        <v>1450</v>
      </c>
      <c r="M29" s="6">
        <v>44.7</v>
      </c>
      <c r="N29" s="9">
        <f t="shared" si="21"/>
        <v>1.865</v>
      </c>
      <c r="O29" s="9">
        <f>M29*N29</f>
        <v>83.365500000000011</v>
      </c>
      <c r="P29" s="10">
        <f t="shared" si="19"/>
        <v>3446.9467268125259</v>
      </c>
      <c r="Q29" s="9">
        <f t="shared" si="16"/>
        <v>23.477861449783187</v>
      </c>
      <c r="R29" s="11">
        <f t="shared" si="17"/>
        <v>3.3502094086432808E-2</v>
      </c>
      <c r="S29" s="50"/>
      <c r="T29" s="50"/>
    </row>
    <row r="30" spans="1:115" ht="16" customHeight="1">
      <c r="D30" s="19"/>
      <c r="F30" s="19"/>
      <c r="P30" s="41" t="s">
        <v>59</v>
      </c>
      <c r="Q30" s="42">
        <f>AVERAGE(Q25:Q29)</f>
        <v>23.161858431588129</v>
      </c>
      <c r="R30" s="43">
        <f>AVERAGE(R25:R29)</f>
        <v>3.3051168738320862E-2</v>
      </c>
    </row>
    <row r="31" spans="1:115" ht="16.5" customHeight="1"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</row>
    <row r="32" spans="1:115" ht="16.5" customHeight="1">
      <c r="A32" s="22" t="s">
        <v>103</v>
      </c>
      <c r="B32" s="35"/>
      <c r="C32" s="35"/>
      <c r="D32" s="35"/>
      <c r="E32" s="35"/>
      <c r="F32" s="35"/>
      <c r="G32" s="35"/>
      <c r="H32" s="35"/>
      <c r="I32" s="36"/>
      <c r="J32" s="35"/>
      <c r="K32" s="35"/>
      <c r="L32" s="35"/>
      <c r="M32" s="35"/>
      <c r="N32" s="35"/>
      <c r="O32" s="35"/>
      <c r="P32" s="35"/>
      <c r="Q32" s="35"/>
      <c r="R32" s="35"/>
      <c r="S32" s="50"/>
      <c r="T32" s="50"/>
    </row>
    <row r="33" spans="1:20" ht="45.5" customHeight="1">
      <c r="A33" s="27" t="s">
        <v>28</v>
      </c>
      <c r="B33" s="27" t="s">
        <v>98</v>
      </c>
      <c r="C33" s="27" t="s">
        <v>79</v>
      </c>
      <c r="D33" s="27" t="s">
        <v>80</v>
      </c>
      <c r="E33" s="27" t="s">
        <v>123</v>
      </c>
      <c r="F33" s="27" t="s">
        <v>81</v>
      </c>
      <c r="G33" s="27" t="s">
        <v>99</v>
      </c>
      <c r="H33" s="27" t="s">
        <v>124</v>
      </c>
      <c r="I33" s="28" t="s">
        <v>125</v>
      </c>
      <c r="J33" s="27" t="s">
        <v>126</v>
      </c>
      <c r="K33" s="27" t="s">
        <v>127</v>
      </c>
      <c r="L33" s="27" t="s">
        <v>129</v>
      </c>
      <c r="M33" s="27" t="s">
        <v>82</v>
      </c>
      <c r="N33" s="27" t="s">
        <v>83</v>
      </c>
      <c r="O33" s="27" t="s">
        <v>84</v>
      </c>
      <c r="P33" s="27" t="s">
        <v>128</v>
      </c>
      <c r="Q33" s="27" t="s">
        <v>85</v>
      </c>
      <c r="R33" s="27" t="s">
        <v>122</v>
      </c>
    </row>
    <row r="34" spans="1:20" ht="16.5" customHeight="1">
      <c r="A34" s="6" t="s">
        <v>33</v>
      </c>
      <c r="B34" s="7">
        <v>12.984630392662524</v>
      </c>
      <c r="C34" s="7">
        <v>415.96019277108439</v>
      </c>
      <c r="D34" s="8">
        <v>29.105231644337994</v>
      </c>
      <c r="E34" s="8">
        <v>18.951612903225808</v>
      </c>
      <c r="F34" s="6">
        <v>0.9</v>
      </c>
      <c r="G34" s="9">
        <f>'Summary N2O from residue'!I12*1000</f>
        <v>441.25826630920466</v>
      </c>
      <c r="H34" s="9">
        <f>D34*100/(3000*L34/1000)</f>
        <v>0.6737322139893055</v>
      </c>
      <c r="I34" s="6">
        <v>11</v>
      </c>
      <c r="J34" s="6">
        <v>0.85</v>
      </c>
      <c r="K34" s="10">
        <v>5000</v>
      </c>
      <c r="L34" s="10">
        <v>1440</v>
      </c>
      <c r="M34" s="6">
        <v>44.7</v>
      </c>
      <c r="N34" s="9">
        <f>N25</f>
        <v>1.865</v>
      </c>
      <c r="O34" s="9">
        <f t="shared" ref="O34:O36" si="22">M34*N34</f>
        <v>83.365500000000011</v>
      </c>
      <c r="P34" s="10">
        <f>((H34/100)*K34*L34)/I34*J34</f>
        <v>3748.4010451041358</v>
      </c>
      <c r="Q34" s="9">
        <f t="shared" ref="Q34:Q38" si="23">(21.37+(C34/(E34*F34))*((0.0037*G34)+(0.0000601*P34)-(0.00362*O34)))</f>
        <v>59.320274882999982</v>
      </c>
      <c r="R34" s="11">
        <f t="shared" ref="R34:R38" si="24">(44/28)*0.0075*(14/62)*Q34/N34</f>
        <v>8.4647975055738081E-2</v>
      </c>
      <c r="S34" s="50"/>
      <c r="T34" s="50"/>
    </row>
    <row r="35" spans="1:20" ht="16.5" customHeight="1">
      <c r="A35" s="6" t="s">
        <v>36</v>
      </c>
      <c r="B35" s="7">
        <v>17.701178451178453</v>
      </c>
      <c r="C35" s="7">
        <v>482.54920000000004</v>
      </c>
      <c r="D35" s="8">
        <v>29.979171060957594</v>
      </c>
      <c r="E35" s="8">
        <v>23.704545454545453</v>
      </c>
      <c r="F35" s="6">
        <v>0.9</v>
      </c>
      <c r="G35" s="9">
        <f>$G34</f>
        <v>441.25826630920466</v>
      </c>
      <c r="H35" s="9">
        <f t="shared" ref="H35:H38" si="25">D35*100/(3000*L35/1000)</f>
        <v>0.68445596029583544</v>
      </c>
      <c r="I35" s="6">
        <v>11</v>
      </c>
      <c r="J35" s="6">
        <v>0.85</v>
      </c>
      <c r="K35" s="10">
        <v>5000</v>
      </c>
      <c r="L35" s="10">
        <v>1460</v>
      </c>
      <c r="M35" s="6">
        <v>44.7</v>
      </c>
      <c r="N35" s="9">
        <f>$N34</f>
        <v>1.865</v>
      </c>
      <c r="O35" s="9">
        <f t="shared" si="22"/>
        <v>83.365500000000011</v>
      </c>
      <c r="P35" s="10">
        <f t="shared" ref="P35:P38" si="26">((H35/100)*K35*L35)/I35*J35</f>
        <v>3860.9538487596897</v>
      </c>
      <c r="Q35" s="9">
        <f t="shared" si="23"/>
        <v>56.721108841219532</v>
      </c>
      <c r="R35" s="11">
        <f t="shared" si="24"/>
        <v>8.0939055252107775E-2</v>
      </c>
    </row>
    <row r="36" spans="1:20" ht="16.5" customHeight="1">
      <c r="A36" s="6" t="s">
        <v>35</v>
      </c>
      <c r="B36" s="7">
        <v>16.958670033670035</v>
      </c>
      <c r="C36" s="7">
        <v>615.03559999999993</v>
      </c>
      <c r="D36" s="8">
        <v>18.924013921113691</v>
      </c>
      <c r="E36" s="8">
        <v>14</v>
      </c>
      <c r="F36" s="6">
        <v>0.9</v>
      </c>
      <c r="G36" s="9">
        <f t="shared" ref="G36:G38" si="27">$G35</f>
        <v>441.25826630920466</v>
      </c>
      <c r="H36" s="9">
        <f t="shared" si="25"/>
        <v>0.43503480278422274</v>
      </c>
      <c r="I36" s="6">
        <v>11</v>
      </c>
      <c r="J36" s="6">
        <v>0.85</v>
      </c>
      <c r="K36" s="10">
        <v>5000</v>
      </c>
      <c r="L36" s="10">
        <v>1450</v>
      </c>
      <c r="M36" s="6">
        <v>44.7</v>
      </c>
      <c r="N36" s="9">
        <f t="shared" ref="N36:N38" si="28">$N35</f>
        <v>1.865</v>
      </c>
      <c r="O36" s="9">
        <f t="shared" si="22"/>
        <v>83.365500000000011</v>
      </c>
      <c r="P36" s="10">
        <f t="shared" si="26"/>
        <v>2437.1836110525201</v>
      </c>
      <c r="Q36" s="9">
        <f t="shared" si="23"/>
        <v>93.482787931523973</v>
      </c>
      <c r="R36" s="11">
        <f t="shared" si="24"/>
        <v>0.13339669643432892</v>
      </c>
      <c r="S36" s="50"/>
      <c r="T36" s="50"/>
    </row>
    <row r="37" spans="1:20" ht="16.5" customHeight="1">
      <c r="A37" s="6" t="s">
        <v>32</v>
      </c>
      <c r="B37" s="7">
        <v>13.465329218106993</v>
      </c>
      <c r="C37" s="7">
        <v>449.76187654320978</v>
      </c>
      <c r="D37" s="8">
        <v>33.711358673399751</v>
      </c>
      <c r="E37" s="8">
        <v>19.661764705882351</v>
      </c>
      <c r="F37" s="6">
        <v>0.9</v>
      </c>
      <c r="G37" s="9">
        <f t="shared" si="27"/>
        <v>441.25826630920466</v>
      </c>
      <c r="H37" s="9">
        <f t="shared" si="25"/>
        <v>0.79134644773238849</v>
      </c>
      <c r="I37" s="6">
        <v>11</v>
      </c>
      <c r="J37" s="6">
        <v>0.85</v>
      </c>
      <c r="K37" s="10">
        <v>5000</v>
      </c>
      <c r="L37" s="10">
        <v>1420</v>
      </c>
      <c r="M37" s="6">
        <v>44.7</v>
      </c>
      <c r="N37" s="9">
        <f t="shared" si="28"/>
        <v>1.865</v>
      </c>
      <c r="O37" s="9">
        <f>M37*N37</f>
        <v>83.365500000000011</v>
      </c>
      <c r="P37" s="10">
        <f t="shared" si="26"/>
        <v>4341.6143746045136</v>
      </c>
      <c r="Q37" s="9">
        <f t="shared" si="23"/>
        <v>61.828249784897949</v>
      </c>
      <c r="R37" s="11">
        <f t="shared" si="24"/>
        <v>8.8226768265226671E-2</v>
      </c>
    </row>
    <row r="38" spans="1:20" ht="16.5" customHeight="1">
      <c r="A38" s="6" t="s">
        <v>34</v>
      </c>
      <c r="B38" s="7">
        <v>16.795987654320989</v>
      </c>
      <c r="C38" s="7">
        <v>534.00959999999998</v>
      </c>
      <c r="D38" s="8">
        <v>26.764527525838439</v>
      </c>
      <c r="E38" s="8">
        <v>17.280303030303031</v>
      </c>
      <c r="F38" s="6">
        <v>0.9</v>
      </c>
      <c r="G38" s="9">
        <f t="shared" si="27"/>
        <v>441.25826630920466</v>
      </c>
      <c r="H38" s="9">
        <f t="shared" si="25"/>
        <v>0.61527649484686064</v>
      </c>
      <c r="I38" s="6">
        <v>11</v>
      </c>
      <c r="J38" s="6">
        <v>0.85</v>
      </c>
      <c r="K38" s="10">
        <v>5000</v>
      </c>
      <c r="L38" s="10">
        <v>1450</v>
      </c>
      <c r="M38" s="6">
        <v>44.7</v>
      </c>
      <c r="N38" s="9">
        <f t="shared" si="28"/>
        <v>1.865</v>
      </c>
      <c r="O38" s="9">
        <f>M38*N38</f>
        <v>83.365500000000011</v>
      </c>
      <c r="P38" s="10">
        <f t="shared" si="26"/>
        <v>3446.9467268125259</v>
      </c>
      <c r="Q38" s="9">
        <f t="shared" si="23"/>
        <v>74.180603404727407</v>
      </c>
      <c r="R38" s="11">
        <f t="shared" si="24"/>
        <v>0.10585314850627017</v>
      </c>
    </row>
    <row r="39" spans="1:20" ht="16" customHeight="1">
      <c r="D39" s="19"/>
      <c r="F39" s="19"/>
      <c r="P39" s="41" t="s">
        <v>59</v>
      </c>
      <c r="Q39" s="42">
        <f>AVERAGE(Q34:Q38)</f>
        <v>69.106604969073757</v>
      </c>
      <c r="R39" s="43">
        <f>AVERAGE(R34:R38)</f>
        <v>9.8612728702734326E-2</v>
      </c>
    </row>
    <row r="40" spans="1:20" ht="16.5" customHeight="1">
      <c r="A40" s="49"/>
      <c r="B40" s="50"/>
      <c r="C40" s="50"/>
      <c r="D40" s="50"/>
      <c r="E40" s="50"/>
    </row>
    <row r="41" spans="1:20" ht="16.5" customHeight="1">
      <c r="A41" s="22" t="s">
        <v>109</v>
      </c>
      <c r="B41" s="35"/>
      <c r="C41" s="35"/>
      <c r="D41" s="35"/>
      <c r="E41" s="35"/>
      <c r="F41" s="35"/>
      <c r="G41" s="35"/>
      <c r="H41" s="35"/>
      <c r="I41" s="36"/>
      <c r="J41" s="35"/>
      <c r="K41" s="35"/>
      <c r="L41" s="35"/>
      <c r="M41" s="35"/>
      <c r="N41" s="35"/>
      <c r="O41" s="35"/>
      <c r="P41" s="35"/>
      <c r="Q41" s="35"/>
      <c r="R41" s="35"/>
    </row>
    <row r="42" spans="1:20" ht="45.5" customHeight="1">
      <c r="A42" s="27" t="s">
        <v>28</v>
      </c>
      <c r="B42" s="27" t="s">
        <v>98</v>
      </c>
      <c r="C42" s="27" t="s">
        <v>79</v>
      </c>
      <c r="D42" s="27" t="s">
        <v>80</v>
      </c>
      <c r="E42" s="27" t="s">
        <v>123</v>
      </c>
      <c r="F42" s="27" t="s">
        <v>81</v>
      </c>
      <c r="G42" s="27" t="s">
        <v>99</v>
      </c>
      <c r="H42" s="27" t="s">
        <v>124</v>
      </c>
      <c r="I42" s="28" t="s">
        <v>125</v>
      </c>
      <c r="J42" s="27" t="s">
        <v>126</v>
      </c>
      <c r="K42" s="27" t="s">
        <v>127</v>
      </c>
      <c r="L42" s="27" t="s">
        <v>129</v>
      </c>
      <c r="M42" s="27" t="s">
        <v>82</v>
      </c>
      <c r="N42" s="27" t="s">
        <v>83</v>
      </c>
      <c r="O42" s="27" t="s">
        <v>84</v>
      </c>
      <c r="P42" s="27" t="s">
        <v>128</v>
      </c>
      <c r="Q42" s="27" t="s">
        <v>85</v>
      </c>
      <c r="R42" s="27" t="s">
        <v>122</v>
      </c>
    </row>
    <row r="43" spans="1:20" ht="16.5" customHeight="1">
      <c r="A43" s="6" t="s">
        <v>33</v>
      </c>
      <c r="B43" s="7">
        <v>12.984630392662524</v>
      </c>
      <c r="C43" s="7">
        <v>415.96019277108439</v>
      </c>
      <c r="D43" s="8">
        <v>29.105231644337994</v>
      </c>
      <c r="E43" s="8">
        <v>18.951612903225808</v>
      </c>
      <c r="F43" s="6">
        <v>0.9</v>
      </c>
      <c r="G43" s="9">
        <f>'Summary N2O from residue'!H13*1000</f>
        <v>53.716444444444434</v>
      </c>
      <c r="H43" s="9">
        <f>D43*100/(3000*L43/1000)</f>
        <v>0.6737322139893055</v>
      </c>
      <c r="I43" s="6">
        <v>11</v>
      </c>
      <c r="J43" s="6">
        <v>0.85</v>
      </c>
      <c r="K43" s="10">
        <v>5000</v>
      </c>
      <c r="L43" s="10">
        <v>1440</v>
      </c>
      <c r="M43" s="6">
        <v>44.7</v>
      </c>
      <c r="N43" s="9">
        <f>N34</f>
        <v>1.865</v>
      </c>
      <c r="O43" s="9">
        <f t="shared" ref="O43:O45" si="29">M43*N43</f>
        <v>83.365500000000011</v>
      </c>
      <c r="P43" s="10">
        <f>((H43/100)*K43*L43)/I43*J43</f>
        <v>3748.4010451041358</v>
      </c>
      <c r="Q43" s="9">
        <f t="shared" ref="Q43:Q47" si="30">(21.37+(C43/(E43*F43))*((0.0037*G43)+(0.0000601*P43)-(0.00362*O43)))</f>
        <v>24.351261047275692</v>
      </c>
      <c r="R43" s="11">
        <f t="shared" ref="R43:R47" si="31">(44/28)*0.0075*(14/62)*Q43/N43</f>
        <v>3.4748405022922153E-2</v>
      </c>
    </row>
    <row r="44" spans="1:20" ht="16.5" customHeight="1">
      <c r="A44" s="6" t="s">
        <v>36</v>
      </c>
      <c r="B44" s="7">
        <v>17.701178451178453</v>
      </c>
      <c r="C44" s="7">
        <v>482.54920000000004</v>
      </c>
      <c r="D44" s="8">
        <v>29.979171060957594</v>
      </c>
      <c r="E44" s="8">
        <v>23.704545454545453</v>
      </c>
      <c r="F44" s="6">
        <v>0.9</v>
      </c>
      <c r="G44" s="9">
        <f>$G43</f>
        <v>53.716444444444434</v>
      </c>
      <c r="H44" s="9">
        <f t="shared" ref="H44:H47" si="32">D44*100/(3000*L44/1000)</f>
        <v>0.68445596029583544</v>
      </c>
      <c r="I44" s="6">
        <v>11</v>
      </c>
      <c r="J44" s="6">
        <v>0.85</v>
      </c>
      <c r="K44" s="10">
        <v>5000</v>
      </c>
      <c r="L44" s="10">
        <v>1460</v>
      </c>
      <c r="M44" s="6">
        <v>44.7</v>
      </c>
      <c r="N44" s="9">
        <f>$N43</f>
        <v>1.865</v>
      </c>
      <c r="O44" s="9">
        <f t="shared" si="29"/>
        <v>83.365500000000011</v>
      </c>
      <c r="P44" s="10">
        <f t="shared" ref="P44:P47" si="33">((H44/100)*K44*L44)/I44*J44</f>
        <v>3860.9538487596897</v>
      </c>
      <c r="Q44" s="9">
        <f t="shared" si="30"/>
        <v>24.288061258091922</v>
      </c>
      <c r="R44" s="11">
        <f t="shared" si="31"/>
        <v>3.4658221115499148E-2</v>
      </c>
    </row>
    <row r="45" spans="1:20" ht="16.5" customHeight="1">
      <c r="A45" s="6" t="s">
        <v>35</v>
      </c>
      <c r="B45" s="7">
        <v>16.958670033670035</v>
      </c>
      <c r="C45" s="7">
        <v>615.03559999999993</v>
      </c>
      <c r="D45" s="8">
        <v>18.924013921113691</v>
      </c>
      <c r="E45" s="8">
        <v>14</v>
      </c>
      <c r="F45" s="6">
        <v>0.9</v>
      </c>
      <c r="G45" s="9">
        <f t="shared" ref="G45:G47" si="34">$G44</f>
        <v>53.716444444444434</v>
      </c>
      <c r="H45" s="9">
        <f t="shared" si="32"/>
        <v>0.43503480278422274</v>
      </c>
      <c r="I45" s="6">
        <v>11</v>
      </c>
      <c r="J45" s="6">
        <v>0.85</v>
      </c>
      <c r="K45" s="10">
        <v>5000</v>
      </c>
      <c r="L45" s="10">
        <v>1450</v>
      </c>
      <c r="M45" s="6">
        <v>44.7</v>
      </c>
      <c r="N45" s="9">
        <f t="shared" ref="N45:N47" si="35">$N44</f>
        <v>1.865</v>
      </c>
      <c r="O45" s="9">
        <f t="shared" si="29"/>
        <v>83.365500000000011</v>
      </c>
      <c r="P45" s="10">
        <f t="shared" si="33"/>
        <v>2437.1836110525201</v>
      </c>
      <c r="Q45" s="9">
        <f t="shared" si="30"/>
        <v>23.49052899009239</v>
      </c>
      <c r="R45" s="11">
        <f t="shared" si="31"/>
        <v>3.3520170227149038E-2</v>
      </c>
    </row>
    <row r="46" spans="1:20" ht="16.5" customHeight="1">
      <c r="A46" s="6" t="s">
        <v>32</v>
      </c>
      <c r="B46" s="7">
        <v>13.465329218106993</v>
      </c>
      <c r="C46" s="7">
        <v>449.76187654320978</v>
      </c>
      <c r="D46" s="8">
        <v>33.711358673399751</v>
      </c>
      <c r="E46" s="8">
        <v>19.661764705882351</v>
      </c>
      <c r="F46" s="6">
        <v>0.9</v>
      </c>
      <c r="G46" s="9">
        <f t="shared" si="34"/>
        <v>53.716444444444434</v>
      </c>
      <c r="H46" s="9">
        <f t="shared" si="32"/>
        <v>0.79134644773238849</v>
      </c>
      <c r="I46" s="6">
        <v>11</v>
      </c>
      <c r="J46" s="6">
        <v>0.85</v>
      </c>
      <c r="K46" s="10">
        <v>5000</v>
      </c>
      <c r="L46" s="10">
        <v>1420</v>
      </c>
      <c r="M46" s="6">
        <v>44.7</v>
      </c>
      <c r="N46" s="9">
        <f t="shared" si="35"/>
        <v>1.865</v>
      </c>
      <c r="O46" s="9">
        <f>M46*N46</f>
        <v>83.365500000000011</v>
      </c>
      <c r="P46" s="10">
        <f t="shared" si="33"/>
        <v>4341.6143746045136</v>
      </c>
      <c r="Q46" s="9">
        <f t="shared" si="30"/>
        <v>25.38325126459327</v>
      </c>
      <c r="R46" s="11">
        <f t="shared" si="31"/>
        <v>3.6221019274045564E-2</v>
      </c>
    </row>
    <row r="47" spans="1:20" ht="16.5" customHeight="1">
      <c r="A47" s="6" t="s">
        <v>34</v>
      </c>
      <c r="B47" s="7">
        <v>16.795987654320989</v>
      </c>
      <c r="C47" s="7">
        <v>534.00959999999998</v>
      </c>
      <c r="D47" s="8">
        <v>26.764527525838439</v>
      </c>
      <c r="E47" s="8">
        <v>17.280303030303031</v>
      </c>
      <c r="F47" s="6">
        <v>0.9</v>
      </c>
      <c r="G47" s="9">
        <f t="shared" si="34"/>
        <v>53.716444444444434</v>
      </c>
      <c r="H47" s="9">
        <f t="shared" si="32"/>
        <v>0.61527649484686064</v>
      </c>
      <c r="I47" s="6">
        <v>11</v>
      </c>
      <c r="J47" s="6">
        <v>0.85</v>
      </c>
      <c r="K47" s="10">
        <v>5000</v>
      </c>
      <c r="L47" s="10">
        <v>1450</v>
      </c>
      <c r="M47" s="6">
        <v>44.7</v>
      </c>
      <c r="N47" s="9">
        <f t="shared" si="35"/>
        <v>1.865</v>
      </c>
      <c r="O47" s="9">
        <f>M47*N47</f>
        <v>83.365500000000011</v>
      </c>
      <c r="P47" s="10">
        <f t="shared" si="33"/>
        <v>3446.9467268125259</v>
      </c>
      <c r="Q47" s="9">
        <f t="shared" si="30"/>
        <v>24.945426620364042</v>
      </c>
      <c r="R47" s="11">
        <f t="shared" si="31"/>
        <v>3.559625869030586E-2</v>
      </c>
    </row>
    <row r="48" spans="1:20" ht="16" customHeight="1">
      <c r="D48" s="19"/>
      <c r="F48" s="19"/>
      <c r="P48" s="41" t="s">
        <v>59</v>
      </c>
      <c r="Q48" s="42">
        <f>AVERAGE(Q43:Q47)</f>
        <v>24.491705836083462</v>
      </c>
      <c r="R48" s="43">
        <f>AVERAGE(R43:R47)</f>
        <v>3.4948814865984348E-2</v>
      </c>
    </row>
    <row r="49" spans="1:18" ht="16.5" customHeight="1">
      <c r="A49" s="49"/>
      <c r="B49" s="50"/>
      <c r="C49" s="50"/>
      <c r="D49" s="50"/>
      <c r="E49" s="50"/>
    </row>
    <row r="50" spans="1:18" ht="16.5" customHeight="1">
      <c r="A50" s="22" t="s">
        <v>108</v>
      </c>
      <c r="B50" s="35"/>
      <c r="C50" s="35"/>
      <c r="D50" s="35"/>
      <c r="E50" s="35"/>
      <c r="F50" s="35"/>
      <c r="G50" s="35"/>
      <c r="H50" s="35"/>
      <c r="I50" s="36"/>
      <c r="J50" s="35"/>
      <c r="K50" s="35"/>
      <c r="L50" s="35"/>
      <c r="M50" s="35"/>
      <c r="N50" s="35"/>
      <c r="O50" s="35"/>
      <c r="P50" s="35"/>
      <c r="Q50" s="35"/>
      <c r="R50" s="35"/>
    </row>
    <row r="51" spans="1:18" ht="45.5" customHeight="1">
      <c r="A51" s="27" t="s">
        <v>28</v>
      </c>
      <c r="B51" s="27" t="s">
        <v>98</v>
      </c>
      <c r="C51" s="27" t="s">
        <v>79</v>
      </c>
      <c r="D51" s="27" t="s">
        <v>80</v>
      </c>
      <c r="E51" s="27" t="s">
        <v>123</v>
      </c>
      <c r="F51" s="27" t="s">
        <v>81</v>
      </c>
      <c r="G51" s="27" t="s">
        <v>99</v>
      </c>
      <c r="H51" s="27" t="s">
        <v>124</v>
      </c>
      <c r="I51" s="28" t="s">
        <v>125</v>
      </c>
      <c r="J51" s="27" t="s">
        <v>126</v>
      </c>
      <c r="K51" s="27" t="s">
        <v>127</v>
      </c>
      <c r="L51" s="27" t="s">
        <v>129</v>
      </c>
      <c r="M51" s="27" t="s">
        <v>82</v>
      </c>
      <c r="N51" s="27" t="s">
        <v>83</v>
      </c>
      <c r="O51" s="27" t="s">
        <v>84</v>
      </c>
      <c r="P51" s="27" t="s">
        <v>128</v>
      </c>
      <c r="Q51" s="27" t="s">
        <v>85</v>
      </c>
      <c r="R51" s="27" t="s">
        <v>122</v>
      </c>
    </row>
    <row r="52" spans="1:18" ht="16.5" customHeight="1">
      <c r="A52" s="6" t="s">
        <v>33</v>
      </c>
      <c r="B52" s="7">
        <v>12.984630392662524</v>
      </c>
      <c r="C52" s="7">
        <v>415.96019277108439</v>
      </c>
      <c r="D52" s="8">
        <v>29.105231644337994</v>
      </c>
      <c r="E52" s="8">
        <v>18.951612903225808</v>
      </c>
      <c r="F52" s="6">
        <v>0.9</v>
      </c>
      <c r="G52" s="9">
        <f>'Summary N2O from residue'!H14*1000</f>
        <v>63.920888888888889</v>
      </c>
      <c r="H52" s="9">
        <f>D52*100/(3000*L52/1000)</f>
        <v>0.6737322139893055</v>
      </c>
      <c r="I52" s="6">
        <v>11</v>
      </c>
      <c r="J52" s="6">
        <v>0.85</v>
      </c>
      <c r="K52" s="10">
        <v>5000</v>
      </c>
      <c r="L52" s="10">
        <v>1440</v>
      </c>
      <c r="M52" s="6">
        <v>44.7</v>
      </c>
      <c r="N52" s="9">
        <f>N43</f>
        <v>1.865</v>
      </c>
      <c r="O52" s="9">
        <f t="shared" ref="O52:O54" si="36">M52*N52</f>
        <v>83.365500000000011</v>
      </c>
      <c r="P52" s="10">
        <f>((H52/100)*K52*L52)/I52*J52</f>
        <v>3748.4010451041358</v>
      </c>
      <c r="Q52" s="9">
        <f t="shared" ref="Q52:Q56" si="37">(21.37+(C52/(E52*F52))*((0.0037*G52)+(0.0000601*P52)-(0.00362*O52)))</f>
        <v>25.27203743534816</v>
      </c>
      <c r="R52" s="11">
        <f t="shared" ref="R52:R56" si="38">(44/28)*0.0075*(14/62)*Q52/N52</f>
        <v>3.6062320996561842E-2</v>
      </c>
    </row>
    <row r="53" spans="1:18" ht="16.5" customHeight="1">
      <c r="A53" s="6" t="s">
        <v>36</v>
      </c>
      <c r="B53" s="7">
        <v>17.701178451178453</v>
      </c>
      <c r="C53" s="7">
        <v>482.54920000000004</v>
      </c>
      <c r="D53" s="8">
        <v>29.979171060957594</v>
      </c>
      <c r="E53" s="8">
        <v>23.704545454545453</v>
      </c>
      <c r="F53" s="6">
        <v>0.9</v>
      </c>
      <c r="G53" s="9">
        <f>$G52</f>
        <v>63.920888888888889</v>
      </c>
      <c r="H53" s="9">
        <f t="shared" ref="H53:H56" si="39">D53*100/(3000*L53/1000)</f>
        <v>0.68445596029583544</v>
      </c>
      <c r="I53" s="6">
        <v>11</v>
      </c>
      <c r="J53" s="6">
        <v>0.85</v>
      </c>
      <c r="K53" s="10">
        <v>5000</v>
      </c>
      <c r="L53" s="10">
        <v>1460</v>
      </c>
      <c r="M53" s="6">
        <v>44.7</v>
      </c>
      <c r="N53" s="9">
        <f>$N52</f>
        <v>1.865</v>
      </c>
      <c r="O53" s="9">
        <f t="shared" si="36"/>
        <v>83.365500000000011</v>
      </c>
      <c r="P53" s="10">
        <f t="shared" ref="P53:P56" si="40">((H53/100)*K53*L53)/I53*J53</f>
        <v>3860.9538487596897</v>
      </c>
      <c r="Q53" s="9">
        <f t="shared" si="37"/>
        <v>25.142062590473397</v>
      </c>
      <c r="R53" s="11">
        <f t="shared" si="38"/>
        <v>3.5876851400398771E-2</v>
      </c>
    </row>
    <row r="54" spans="1:18" ht="16.5" customHeight="1">
      <c r="A54" s="6" t="s">
        <v>35</v>
      </c>
      <c r="B54" s="7">
        <v>16.958670033670035</v>
      </c>
      <c r="C54" s="7">
        <v>615.03559999999993</v>
      </c>
      <c r="D54" s="8">
        <v>18.924013921113691</v>
      </c>
      <c r="E54" s="8">
        <v>14</v>
      </c>
      <c r="F54" s="6">
        <v>0.9</v>
      </c>
      <c r="G54" s="9">
        <f t="shared" ref="G54:G56" si="41">$G53</f>
        <v>63.920888888888889</v>
      </c>
      <c r="H54" s="9">
        <f t="shared" si="39"/>
        <v>0.43503480278422274</v>
      </c>
      <c r="I54" s="6">
        <v>11</v>
      </c>
      <c r="J54" s="6">
        <v>0.85</v>
      </c>
      <c r="K54" s="10">
        <v>5000</v>
      </c>
      <c r="L54" s="10">
        <v>1450</v>
      </c>
      <c r="M54" s="6">
        <v>44.7</v>
      </c>
      <c r="N54" s="9">
        <f t="shared" ref="N54:N56" si="42">$N53</f>
        <v>1.865</v>
      </c>
      <c r="O54" s="9">
        <f t="shared" si="36"/>
        <v>83.365500000000011</v>
      </c>
      <c r="P54" s="10">
        <f t="shared" si="40"/>
        <v>2437.1836110525201</v>
      </c>
      <c r="Q54" s="9">
        <f t="shared" si="37"/>
        <v>25.333509741104738</v>
      </c>
      <c r="R54" s="11">
        <f t="shared" si="38"/>
        <v>3.6150039845042642E-2</v>
      </c>
    </row>
    <row r="55" spans="1:18" ht="16.5" customHeight="1">
      <c r="A55" s="6" t="s">
        <v>32</v>
      </c>
      <c r="B55" s="7">
        <v>13.465329218106993</v>
      </c>
      <c r="C55" s="7">
        <v>449.76187654320978</v>
      </c>
      <c r="D55" s="8">
        <v>33.711358673399751</v>
      </c>
      <c r="E55" s="8">
        <v>19.661764705882351</v>
      </c>
      <c r="F55" s="6">
        <v>0.9</v>
      </c>
      <c r="G55" s="9">
        <f t="shared" si="41"/>
        <v>63.920888888888889</v>
      </c>
      <c r="H55" s="9">
        <f t="shared" si="39"/>
        <v>0.79134644773238849</v>
      </c>
      <c r="I55" s="6">
        <v>11</v>
      </c>
      <c r="J55" s="6">
        <v>0.85</v>
      </c>
      <c r="K55" s="10">
        <v>5000</v>
      </c>
      <c r="L55" s="10">
        <v>1420</v>
      </c>
      <c r="M55" s="6">
        <v>44.7</v>
      </c>
      <c r="N55" s="9">
        <f t="shared" si="42"/>
        <v>1.865</v>
      </c>
      <c r="O55" s="9">
        <f>M55*N55</f>
        <v>83.365500000000011</v>
      </c>
      <c r="P55" s="10">
        <f t="shared" si="40"/>
        <v>4341.6143746045136</v>
      </c>
      <c r="Q55" s="9">
        <f t="shared" si="37"/>
        <v>26.342892112873358</v>
      </c>
      <c r="R55" s="11">
        <f t="shared" si="38"/>
        <v>3.7590393484598313E-2</v>
      </c>
    </row>
    <row r="56" spans="1:18" ht="16.5" customHeight="1">
      <c r="A56" s="6" t="s">
        <v>34</v>
      </c>
      <c r="B56" s="7">
        <v>16.795987654320989</v>
      </c>
      <c r="C56" s="7">
        <v>534.00959999999998</v>
      </c>
      <c r="D56" s="8">
        <v>26.764527525838439</v>
      </c>
      <c r="E56" s="8">
        <v>17.280303030303031</v>
      </c>
      <c r="F56" s="6">
        <v>0.9</v>
      </c>
      <c r="G56" s="9">
        <f t="shared" si="41"/>
        <v>63.920888888888889</v>
      </c>
      <c r="H56" s="9">
        <f t="shared" si="39"/>
        <v>0.61527649484686064</v>
      </c>
      <c r="I56" s="6">
        <v>11</v>
      </c>
      <c r="J56" s="6">
        <v>0.85</v>
      </c>
      <c r="K56" s="10">
        <v>5000</v>
      </c>
      <c r="L56" s="10">
        <v>1450</v>
      </c>
      <c r="M56" s="6">
        <v>44.7</v>
      </c>
      <c r="N56" s="9">
        <f t="shared" si="42"/>
        <v>1.865</v>
      </c>
      <c r="O56" s="9">
        <f>M56*N56</f>
        <v>83.365500000000011</v>
      </c>
      <c r="P56" s="10">
        <f t="shared" si="40"/>
        <v>3446.9467268125259</v>
      </c>
      <c r="Q56" s="9">
        <f t="shared" si="37"/>
        <v>26.241848316971961</v>
      </c>
      <c r="R56" s="11">
        <f t="shared" si="38"/>
        <v>3.7446207492003565E-2</v>
      </c>
    </row>
    <row r="57" spans="1:18" ht="16" customHeight="1">
      <c r="D57" s="19"/>
      <c r="F57" s="19"/>
      <c r="P57" s="41" t="s">
        <v>59</v>
      </c>
      <c r="Q57" s="42">
        <f>AVERAGE(Q52:Q56)</f>
        <v>25.666470039354323</v>
      </c>
      <c r="R57" s="43">
        <f>AVERAGE(R52:R56)</f>
        <v>3.6625162643721024E-2</v>
      </c>
    </row>
    <row r="59" spans="1:18" ht="16.5" customHeight="1">
      <c r="A59" s="22" t="s">
        <v>107</v>
      </c>
      <c r="B59" s="35"/>
      <c r="C59" s="35"/>
      <c r="D59" s="35"/>
      <c r="E59" s="35"/>
      <c r="F59" s="35"/>
      <c r="G59" s="35"/>
      <c r="H59" s="35"/>
      <c r="I59" s="36"/>
      <c r="J59" s="35"/>
      <c r="K59" s="35"/>
      <c r="L59" s="35"/>
      <c r="M59" s="35"/>
      <c r="N59" s="35"/>
      <c r="O59" s="35"/>
      <c r="P59" s="35"/>
      <c r="Q59" s="35"/>
      <c r="R59" s="35"/>
    </row>
    <row r="60" spans="1:18" ht="45.5" customHeight="1">
      <c r="A60" s="27" t="s">
        <v>28</v>
      </c>
      <c r="B60" s="27" t="s">
        <v>98</v>
      </c>
      <c r="C60" s="27" t="s">
        <v>79</v>
      </c>
      <c r="D60" s="27" t="s">
        <v>80</v>
      </c>
      <c r="E60" s="27" t="s">
        <v>123</v>
      </c>
      <c r="F60" s="27" t="s">
        <v>81</v>
      </c>
      <c r="G60" s="27" t="s">
        <v>99</v>
      </c>
      <c r="H60" s="27" t="s">
        <v>124</v>
      </c>
      <c r="I60" s="28" t="s">
        <v>125</v>
      </c>
      <c r="J60" s="27" t="s">
        <v>126</v>
      </c>
      <c r="K60" s="27" t="s">
        <v>127</v>
      </c>
      <c r="L60" s="27" t="s">
        <v>129</v>
      </c>
      <c r="M60" s="27" t="s">
        <v>82</v>
      </c>
      <c r="N60" s="27" t="s">
        <v>83</v>
      </c>
      <c r="O60" s="27" t="s">
        <v>84</v>
      </c>
      <c r="P60" s="27" t="s">
        <v>128</v>
      </c>
      <c r="Q60" s="27" t="s">
        <v>85</v>
      </c>
      <c r="R60" s="27" t="s">
        <v>122</v>
      </c>
    </row>
    <row r="61" spans="1:18" ht="16.5" customHeight="1">
      <c r="A61" s="6" t="s">
        <v>33</v>
      </c>
      <c r="B61" s="7">
        <v>12.984630392662524</v>
      </c>
      <c r="C61" s="7">
        <v>415.96019277108439</v>
      </c>
      <c r="D61" s="8">
        <v>29.105231644337994</v>
      </c>
      <c r="E61" s="8">
        <v>18.951612903225808</v>
      </c>
      <c r="F61" s="6">
        <v>0.9</v>
      </c>
      <c r="G61" s="9">
        <f>'Summary N2O from residue'!H15*1000</f>
        <v>74.12533333333333</v>
      </c>
      <c r="H61" s="9">
        <f>D61*100/(3000*L61/1000)</f>
        <v>0.6737322139893055</v>
      </c>
      <c r="I61" s="6">
        <v>11</v>
      </c>
      <c r="J61" s="6">
        <v>0.85</v>
      </c>
      <c r="K61" s="10">
        <v>5000</v>
      </c>
      <c r="L61" s="10">
        <v>1440</v>
      </c>
      <c r="M61" s="6">
        <v>44.7</v>
      </c>
      <c r="N61" s="9">
        <f>N52</f>
        <v>1.865</v>
      </c>
      <c r="O61" s="9">
        <f t="shared" ref="O61:O63" si="43">M61*N61</f>
        <v>83.365500000000011</v>
      </c>
      <c r="P61" s="10">
        <f>((H61/100)*K61*L61)/I61*J61</f>
        <v>3748.4010451041358</v>
      </c>
      <c r="Q61" s="9">
        <f t="shared" ref="Q61:Q65" si="44">(21.37+(C61/(E61*F61))*((0.0037*G61)+(0.0000601*P61)-(0.00362*O61)))</f>
        <v>26.192813823420629</v>
      </c>
      <c r="R61" s="11">
        <f t="shared" ref="R61:R65" si="45">(44/28)*0.0075*(14/62)*Q61/N61</f>
        <v>3.737623697020153E-2</v>
      </c>
    </row>
    <row r="62" spans="1:18" ht="16.5" customHeight="1">
      <c r="A62" s="6" t="s">
        <v>36</v>
      </c>
      <c r="B62" s="7">
        <v>17.701178451178453</v>
      </c>
      <c r="C62" s="7">
        <v>482.54920000000004</v>
      </c>
      <c r="D62" s="8">
        <v>29.979171060957594</v>
      </c>
      <c r="E62" s="8">
        <v>23.704545454545453</v>
      </c>
      <c r="F62" s="6">
        <v>0.9</v>
      </c>
      <c r="G62" s="9">
        <f>$G61</f>
        <v>74.12533333333333</v>
      </c>
      <c r="H62" s="9">
        <f t="shared" ref="H62:H65" si="46">D62*100/(3000*L62/1000)</f>
        <v>0.68445596029583544</v>
      </c>
      <c r="I62" s="6">
        <v>11</v>
      </c>
      <c r="J62" s="6">
        <v>0.85</v>
      </c>
      <c r="K62" s="10">
        <v>5000</v>
      </c>
      <c r="L62" s="10">
        <v>1460</v>
      </c>
      <c r="M62" s="6">
        <v>44.7</v>
      </c>
      <c r="N62" s="9">
        <f>$N61</f>
        <v>1.865</v>
      </c>
      <c r="O62" s="9">
        <f t="shared" si="43"/>
        <v>83.365500000000011</v>
      </c>
      <c r="P62" s="10">
        <f t="shared" ref="P62:P65" si="47">((H62/100)*K62*L62)/I62*J62</f>
        <v>3860.9538487596897</v>
      </c>
      <c r="Q62" s="9">
        <f t="shared" si="44"/>
        <v>25.996063922854869</v>
      </c>
      <c r="R62" s="11">
        <f t="shared" si="45"/>
        <v>3.7095481685298387E-2</v>
      </c>
    </row>
    <row r="63" spans="1:18" ht="16.5" customHeight="1">
      <c r="A63" s="6" t="s">
        <v>35</v>
      </c>
      <c r="B63" s="7">
        <v>16.958670033670035</v>
      </c>
      <c r="C63" s="7">
        <v>615.03559999999993</v>
      </c>
      <c r="D63" s="8">
        <v>18.924013921113691</v>
      </c>
      <c r="E63" s="8">
        <v>14</v>
      </c>
      <c r="F63" s="6">
        <v>0.9</v>
      </c>
      <c r="G63" s="9">
        <f t="shared" ref="G63:G65" si="48">$G62</f>
        <v>74.12533333333333</v>
      </c>
      <c r="H63" s="9">
        <f t="shared" si="46"/>
        <v>0.43503480278422274</v>
      </c>
      <c r="I63" s="6">
        <v>11</v>
      </c>
      <c r="J63" s="6">
        <v>0.85</v>
      </c>
      <c r="K63" s="10">
        <v>5000</v>
      </c>
      <c r="L63" s="10">
        <v>1450</v>
      </c>
      <c r="M63" s="6">
        <v>44.7</v>
      </c>
      <c r="N63" s="9">
        <f t="shared" ref="N63:N65" si="49">$N62</f>
        <v>1.865</v>
      </c>
      <c r="O63" s="9">
        <f t="shared" si="43"/>
        <v>83.365500000000011</v>
      </c>
      <c r="P63" s="10">
        <f t="shared" si="47"/>
        <v>2437.1836110525201</v>
      </c>
      <c r="Q63" s="9">
        <f t="shared" si="44"/>
        <v>27.176490492117082</v>
      </c>
      <c r="R63" s="11">
        <f t="shared" si="45"/>
        <v>3.8779909462936239E-2</v>
      </c>
    </row>
    <row r="64" spans="1:18" ht="16.5" customHeight="1">
      <c r="A64" s="6" t="s">
        <v>32</v>
      </c>
      <c r="B64" s="7">
        <v>13.465329218106993</v>
      </c>
      <c r="C64" s="7">
        <v>449.76187654320978</v>
      </c>
      <c r="D64" s="8">
        <v>33.711358673399751</v>
      </c>
      <c r="E64" s="8">
        <v>19.661764705882351</v>
      </c>
      <c r="F64" s="6">
        <v>0.9</v>
      </c>
      <c r="G64" s="9">
        <f t="shared" si="48"/>
        <v>74.12533333333333</v>
      </c>
      <c r="H64" s="9">
        <f t="shared" si="46"/>
        <v>0.79134644773238849</v>
      </c>
      <c r="I64" s="6">
        <v>11</v>
      </c>
      <c r="J64" s="6">
        <v>0.85</v>
      </c>
      <c r="K64" s="10">
        <v>5000</v>
      </c>
      <c r="L64" s="10">
        <v>1420</v>
      </c>
      <c r="M64" s="6">
        <v>44.7</v>
      </c>
      <c r="N64" s="9">
        <f t="shared" si="49"/>
        <v>1.865</v>
      </c>
      <c r="O64" s="9">
        <f>M64*N64</f>
        <v>83.365500000000011</v>
      </c>
      <c r="P64" s="10">
        <f t="shared" si="47"/>
        <v>4341.6143746045136</v>
      </c>
      <c r="Q64" s="9">
        <f t="shared" si="44"/>
        <v>27.302532961153446</v>
      </c>
      <c r="R64" s="11">
        <f t="shared" si="45"/>
        <v>3.8959767695151068E-2</v>
      </c>
    </row>
    <row r="65" spans="1:18" ht="16.5" customHeight="1">
      <c r="A65" s="6" t="s">
        <v>34</v>
      </c>
      <c r="B65" s="7">
        <v>16.795987654320989</v>
      </c>
      <c r="C65" s="7">
        <v>534.00959999999998</v>
      </c>
      <c r="D65" s="8">
        <v>26.764527525838439</v>
      </c>
      <c r="E65" s="8">
        <v>17.280303030303031</v>
      </c>
      <c r="F65" s="6">
        <v>0.9</v>
      </c>
      <c r="G65" s="9">
        <f t="shared" si="48"/>
        <v>74.12533333333333</v>
      </c>
      <c r="H65" s="9">
        <f t="shared" si="46"/>
        <v>0.61527649484686064</v>
      </c>
      <c r="I65" s="6">
        <v>11</v>
      </c>
      <c r="J65" s="6">
        <v>0.85</v>
      </c>
      <c r="K65" s="10">
        <v>5000</v>
      </c>
      <c r="L65" s="10">
        <v>1450</v>
      </c>
      <c r="M65" s="6">
        <v>44.7</v>
      </c>
      <c r="N65" s="9">
        <f t="shared" si="49"/>
        <v>1.865</v>
      </c>
      <c r="O65" s="9">
        <f>M65*N65</f>
        <v>83.365500000000011</v>
      </c>
      <c r="P65" s="10">
        <f t="shared" si="47"/>
        <v>3446.9467268125259</v>
      </c>
      <c r="Q65" s="9">
        <f t="shared" si="44"/>
        <v>27.538270013579883</v>
      </c>
      <c r="R65" s="11">
        <f t="shared" si="45"/>
        <v>3.9296156293701291E-2</v>
      </c>
    </row>
    <row r="66" spans="1:18" ht="16" customHeight="1">
      <c r="D66" s="19"/>
      <c r="F66" s="19"/>
      <c r="P66" s="41" t="s">
        <v>59</v>
      </c>
      <c r="Q66" s="42">
        <f>AVERAGE(Q61:Q65)</f>
        <v>26.841234242625184</v>
      </c>
      <c r="R66" s="43">
        <f>AVERAGE(R61:R65)</f>
        <v>3.8301510421457699E-2</v>
      </c>
    </row>
    <row r="68" spans="1:18" ht="16.5" customHeight="1">
      <c r="A68" s="22" t="s">
        <v>106</v>
      </c>
      <c r="B68" s="35"/>
      <c r="C68" s="35"/>
      <c r="D68" s="35"/>
      <c r="E68" s="35"/>
      <c r="F68" s="35"/>
      <c r="G68" s="35"/>
      <c r="H68" s="35"/>
      <c r="I68" s="36"/>
      <c r="J68" s="35"/>
      <c r="K68" s="35"/>
      <c r="L68" s="35"/>
      <c r="M68" s="35"/>
      <c r="N68" s="35"/>
      <c r="O68" s="35"/>
      <c r="P68" s="35"/>
      <c r="Q68" s="35"/>
      <c r="R68" s="35"/>
    </row>
    <row r="69" spans="1:18" ht="45.5" customHeight="1">
      <c r="A69" s="27" t="s">
        <v>28</v>
      </c>
      <c r="B69" s="27" t="s">
        <v>98</v>
      </c>
      <c r="C69" s="27" t="s">
        <v>79</v>
      </c>
      <c r="D69" s="27" t="s">
        <v>80</v>
      </c>
      <c r="E69" s="27" t="s">
        <v>123</v>
      </c>
      <c r="F69" s="27" t="s">
        <v>81</v>
      </c>
      <c r="G69" s="27" t="s">
        <v>99</v>
      </c>
      <c r="H69" s="27" t="s">
        <v>124</v>
      </c>
      <c r="I69" s="28" t="s">
        <v>125</v>
      </c>
      <c r="J69" s="27" t="s">
        <v>126</v>
      </c>
      <c r="K69" s="27" t="s">
        <v>127</v>
      </c>
      <c r="L69" s="27" t="s">
        <v>129</v>
      </c>
      <c r="M69" s="27" t="s">
        <v>82</v>
      </c>
      <c r="N69" s="27" t="s">
        <v>83</v>
      </c>
      <c r="O69" s="27" t="s">
        <v>84</v>
      </c>
      <c r="P69" s="27" t="s">
        <v>128</v>
      </c>
      <c r="Q69" s="27" t="s">
        <v>85</v>
      </c>
      <c r="R69" s="27" t="s">
        <v>122</v>
      </c>
    </row>
    <row r="70" spans="1:18" ht="16.5" customHeight="1">
      <c r="A70" s="6" t="s">
        <v>33</v>
      </c>
      <c r="B70" s="7">
        <v>12.984630392662524</v>
      </c>
      <c r="C70" s="7">
        <v>415.96019277108439</v>
      </c>
      <c r="D70" s="8">
        <v>29.105231644337994</v>
      </c>
      <c r="E70" s="8">
        <v>18.951612903225808</v>
      </c>
      <c r="F70" s="6">
        <v>0.9</v>
      </c>
      <c r="G70" s="9">
        <f>'Summary N2O from residue'!H16*1000</f>
        <v>75.47244444444442</v>
      </c>
      <c r="H70" s="9">
        <f>D70*100/(3000*L70/1000)</f>
        <v>0.6737322139893055</v>
      </c>
      <c r="I70" s="6">
        <v>11</v>
      </c>
      <c r="J70" s="6">
        <v>0.85</v>
      </c>
      <c r="K70" s="10">
        <v>5000</v>
      </c>
      <c r="L70" s="10">
        <v>1440</v>
      </c>
      <c r="M70" s="6">
        <v>44.7</v>
      </c>
      <c r="N70" s="9">
        <f>N62</f>
        <v>1.865</v>
      </c>
      <c r="O70" s="9">
        <f t="shared" ref="O70:O72" si="50">M70*N70</f>
        <v>83.365500000000011</v>
      </c>
      <c r="P70" s="10">
        <f>((H70/100)*K70*L70)/I70*J70</f>
        <v>3748.4010451041358</v>
      </c>
      <c r="Q70" s="9">
        <f t="shared" ref="Q70:Q74" si="51">(21.37+(C70/(E70*F70))*((0.0037*G70)+(0.0000601*P70)-(0.00362*O70)))</f>
        <v>26.314367535626534</v>
      </c>
      <c r="R70" s="11">
        <f t="shared" ref="R70:R74" si="52">(44/28)*0.0075*(14/62)*Q70/N70</f>
        <v>3.7549689902087499E-2</v>
      </c>
    </row>
    <row r="71" spans="1:18" ht="16.5" customHeight="1">
      <c r="A71" s="6" t="s">
        <v>36</v>
      </c>
      <c r="B71" s="7">
        <v>17.701178451178453</v>
      </c>
      <c r="C71" s="7">
        <v>482.54920000000004</v>
      </c>
      <c r="D71" s="8">
        <v>29.979171060957594</v>
      </c>
      <c r="E71" s="8">
        <v>23.704545454545453</v>
      </c>
      <c r="F71" s="6">
        <v>0.9</v>
      </c>
      <c r="G71" s="9">
        <f>$G70</f>
        <v>75.47244444444442</v>
      </c>
      <c r="H71" s="9">
        <f t="shared" ref="H71:H74" si="53">D71*100/(3000*L71/1000)</f>
        <v>0.68445596029583544</v>
      </c>
      <c r="I71" s="6">
        <v>11</v>
      </c>
      <c r="J71" s="6">
        <v>0.85</v>
      </c>
      <c r="K71" s="10">
        <v>5000</v>
      </c>
      <c r="L71" s="10">
        <v>1460</v>
      </c>
      <c r="M71" s="6">
        <v>44.7</v>
      </c>
      <c r="N71" s="9">
        <f>$N70</f>
        <v>1.865</v>
      </c>
      <c r="O71" s="9">
        <f t="shared" si="50"/>
        <v>83.365500000000011</v>
      </c>
      <c r="P71" s="10">
        <f t="shared" ref="P71:P74" si="54">((H71/100)*K71*L71)/I71*J71</f>
        <v>3860.9538487596897</v>
      </c>
      <c r="Q71" s="9">
        <f t="shared" si="51"/>
        <v>26.108802513379619</v>
      </c>
      <c r="R71" s="11">
        <f t="shared" si="52"/>
        <v>3.7256355744250076E-2</v>
      </c>
    </row>
    <row r="72" spans="1:18" ht="16.5" customHeight="1">
      <c r="A72" s="6" t="s">
        <v>35</v>
      </c>
      <c r="B72" s="7">
        <v>16.958670033670035</v>
      </c>
      <c r="C72" s="7">
        <v>615.03559999999993</v>
      </c>
      <c r="D72" s="8">
        <v>18.924013921113691</v>
      </c>
      <c r="E72" s="8">
        <v>14</v>
      </c>
      <c r="F72" s="6">
        <v>0.9</v>
      </c>
      <c r="G72" s="9">
        <f t="shared" ref="G72:G74" si="55">$G71</f>
        <v>75.47244444444442</v>
      </c>
      <c r="H72" s="9">
        <f t="shared" si="53"/>
        <v>0.43503480278422274</v>
      </c>
      <c r="I72" s="6">
        <v>11</v>
      </c>
      <c r="J72" s="6">
        <v>0.85</v>
      </c>
      <c r="K72" s="10">
        <v>5000</v>
      </c>
      <c r="L72" s="10">
        <v>1450</v>
      </c>
      <c r="M72" s="6">
        <v>44.7</v>
      </c>
      <c r="N72" s="9">
        <f t="shared" ref="N72:N74" si="56">$N71</f>
        <v>1.865</v>
      </c>
      <c r="O72" s="9">
        <f t="shared" si="50"/>
        <v>83.365500000000011</v>
      </c>
      <c r="P72" s="10">
        <f t="shared" si="54"/>
        <v>2437.1836110525201</v>
      </c>
      <c r="Q72" s="9">
        <f t="shared" si="51"/>
        <v>27.41978642662572</v>
      </c>
      <c r="R72" s="11">
        <f t="shared" si="52"/>
        <v>3.9127084324078895E-2</v>
      </c>
    </row>
    <row r="73" spans="1:18" ht="16.5" customHeight="1">
      <c r="A73" s="6" t="s">
        <v>32</v>
      </c>
      <c r="B73" s="7">
        <v>13.465329218106993</v>
      </c>
      <c r="C73" s="7">
        <v>449.76187654320978</v>
      </c>
      <c r="D73" s="8">
        <v>33.711358673399751</v>
      </c>
      <c r="E73" s="8">
        <v>19.661764705882351</v>
      </c>
      <c r="F73" s="6">
        <v>0.9</v>
      </c>
      <c r="G73" s="9">
        <f t="shared" si="55"/>
        <v>75.47244444444442</v>
      </c>
      <c r="H73" s="9">
        <f t="shared" si="53"/>
        <v>0.79134644773238849</v>
      </c>
      <c r="I73" s="6">
        <v>11</v>
      </c>
      <c r="J73" s="6">
        <v>0.85</v>
      </c>
      <c r="K73" s="10">
        <v>5000</v>
      </c>
      <c r="L73" s="10">
        <v>1420</v>
      </c>
      <c r="M73" s="6">
        <v>44.7</v>
      </c>
      <c r="N73" s="9">
        <f t="shared" si="56"/>
        <v>1.865</v>
      </c>
      <c r="O73" s="9">
        <f>M73*N73</f>
        <v>83.365500000000011</v>
      </c>
      <c r="P73" s="10">
        <f t="shared" si="54"/>
        <v>4341.6143746045136</v>
      </c>
      <c r="Q73" s="9">
        <f t="shared" si="51"/>
        <v>27.429217256063588</v>
      </c>
      <c r="R73" s="11">
        <f t="shared" si="52"/>
        <v>3.9140541790629514E-2</v>
      </c>
    </row>
    <row r="74" spans="1:18" ht="16.5" customHeight="1">
      <c r="A74" s="6" t="s">
        <v>34</v>
      </c>
      <c r="B74" s="7">
        <v>16.795987654320989</v>
      </c>
      <c r="C74" s="7">
        <v>534.00959999999998</v>
      </c>
      <c r="D74" s="8">
        <v>26.764527525838439</v>
      </c>
      <c r="E74" s="8">
        <v>17.280303030303031</v>
      </c>
      <c r="F74" s="6">
        <v>0.9</v>
      </c>
      <c r="G74" s="9">
        <f t="shared" si="55"/>
        <v>75.47244444444442</v>
      </c>
      <c r="H74" s="9">
        <f t="shared" si="53"/>
        <v>0.61527649484686064</v>
      </c>
      <c r="I74" s="6">
        <v>11</v>
      </c>
      <c r="J74" s="6">
        <v>0.85</v>
      </c>
      <c r="K74" s="10">
        <v>5000</v>
      </c>
      <c r="L74" s="10">
        <v>1450</v>
      </c>
      <c r="M74" s="6">
        <v>44.7</v>
      </c>
      <c r="N74" s="9">
        <f t="shared" si="56"/>
        <v>1.865</v>
      </c>
      <c r="O74" s="9">
        <f>M74*N74</f>
        <v>83.365500000000011</v>
      </c>
      <c r="P74" s="10">
        <f t="shared" si="54"/>
        <v>3446.9467268125259</v>
      </c>
      <c r="Q74" s="9">
        <f t="shared" si="51"/>
        <v>27.709413487552816</v>
      </c>
      <c r="R74" s="11">
        <f t="shared" si="52"/>
        <v>3.9540372095876616E-2</v>
      </c>
    </row>
    <row r="75" spans="1:18" ht="16" customHeight="1">
      <c r="D75" s="19"/>
      <c r="F75" s="19"/>
      <c r="P75" s="41" t="s">
        <v>59</v>
      </c>
      <c r="Q75" s="42">
        <f>AVERAGE(Q70:Q74)</f>
        <v>26.996317443849655</v>
      </c>
      <c r="R75" s="43">
        <f>AVERAGE(R70:R74)</f>
        <v>3.8522808771384517E-2</v>
      </c>
    </row>
    <row r="77" spans="1:18" ht="16.5" customHeight="1">
      <c r="A77" s="22" t="s">
        <v>105</v>
      </c>
      <c r="B77" s="35"/>
      <c r="C77" s="35"/>
      <c r="D77" s="35"/>
      <c r="E77" s="35"/>
      <c r="F77" s="35"/>
      <c r="G77" s="35"/>
      <c r="H77" s="35"/>
      <c r="I77" s="36"/>
      <c r="J77" s="35"/>
      <c r="K77" s="35"/>
      <c r="L77" s="35"/>
      <c r="M77" s="35"/>
      <c r="N77" s="35"/>
      <c r="O77" s="35"/>
      <c r="P77" s="35"/>
      <c r="Q77" s="35"/>
      <c r="R77" s="35"/>
    </row>
    <row r="78" spans="1:18" ht="45.5" customHeight="1">
      <c r="A78" s="27" t="s">
        <v>28</v>
      </c>
      <c r="B78" s="27" t="s">
        <v>98</v>
      </c>
      <c r="C78" s="27" t="s">
        <v>79</v>
      </c>
      <c r="D78" s="27" t="s">
        <v>80</v>
      </c>
      <c r="E78" s="27" t="s">
        <v>123</v>
      </c>
      <c r="F78" s="27" t="s">
        <v>81</v>
      </c>
      <c r="G78" s="27" t="s">
        <v>99</v>
      </c>
      <c r="H78" s="27" t="s">
        <v>124</v>
      </c>
      <c r="I78" s="28" t="s">
        <v>125</v>
      </c>
      <c r="J78" s="27" t="s">
        <v>126</v>
      </c>
      <c r="K78" s="27" t="s">
        <v>127</v>
      </c>
      <c r="L78" s="27" t="s">
        <v>129</v>
      </c>
      <c r="M78" s="27" t="s">
        <v>82</v>
      </c>
      <c r="N78" s="27" t="s">
        <v>83</v>
      </c>
      <c r="O78" s="27" t="s">
        <v>84</v>
      </c>
      <c r="P78" s="27" t="s">
        <v>128</v>
      </c>
      <c r="Q78" s="27" t="s">
        <v>85</v>
      </c>
      <c r="R78" s="27" t="s">
        <v>122</v>
      </c>
    </row>
    <row r="79" spans="1:18" ht="16.5" customHeight="1">
      <c r="A79" s="6" t="s">
        <v>33</v>
      </c>
      <c r="B79" s="7">
        <v>12.984630392662524</v>
      </c>
      <c r="C79" s="7">
        <v>415.96019277108439</v>
      </c>
      <c r="D79" s="8">
        <v>29.105231644337994</v>
      </c>
      <c r="E79" s="8">
        <v>18.951612903225808</v>
      </c>
      <c r="F79" s="6">
        <v>0.9</v>
      </c>
      <c r="G79" s="9">
        <f>'Summary N2O from residue'!H17*1000</f>
        <v>85.676888888888868</v>
      </c>
      <c r="H79" s="9">
        <f>D79*100/(3000*L79/1000)</f>
        <v>0.6737322139893055</v>
      </c>
      <c r="I79" s="6">
        <v>11</v>
      </c>
      <c r="J79" s="6">
        <v>0.85</v>
      </c>
      <c r="K79" s="10">
        <v>5000</v>
      </c>
      <c r="L79" s="10">
        <v>1440</v>
      </c>
      <c r="M79" s="6">
        <v>44.7</v>
      </c>
      <c r="N79" s="9">
        <f>N71</f>
        <v>1.865</v>
      </c>
      <c r="O79" s="9">
        <f t="shared" ref="O79:O81" si="57">M79*N79</f>
        <v>83.365500000000011</v>
      </c>
      <c r="P79" s="10">
        <f>((H79/100)*K79*L79)/I79*J79</f>
        <v>3748.4010451041358</v>
      </c>
      <c r="Q79" s="9">
        <f t="shared" ref="Q79:Q83" si="58">(21.37+(C79/(E79*F79))*((0.0037*G79)+(0.0000601*P79)-(0.00362*O79)))</f>
        <v>27.235143923699002</v>
      </c>
      <c r="R79" s="11">
        <f t="shared" ref="R79:R83" si="59">(44/28)*0.0075*(14/62)*Q79/N79</f>
        <v>3.8863605875727181E-2</v>
      </c>
    </row>
    <row r="80" spans="1:18" ht="16.5" customHeight="1">
      <c r="A80" s="6" t="s">
        <v>36</v>
      </c>
      <c r="B80" s="7">
        <v>17.701178451178453</v>
      </c>
      <c r="C80" s="7">
        <v>482.54920000000004</v>
      </c>
      <c r="D80" s="8">
        <v>29.979171060957594</v>
      </c>
      <c r="E80" s="8">
        <v>23.704545454545453</v>
      </c>
      <c r="F80" s="6">
        <v>0.9</v>
      </c>
      <c r="G80" s="9">
        <f>$G79</f>
        <v>85.676888888888868</v>
      </c>
      <c r="H80" s="9">
        <f t="shared" ref="H80:H83" si="60">D80*100/(3000*L80/1000)</f>
        <v>0.68445596029583544</v>
      </c>
      <c r="I80" s="6">
        <v>11</v>
      </c>
      <c r="J80" s="6">
        <v>0.85</v>
      </c>
      <c r="K80" s="10">
        <v>5000</v>
      </c>
      <c r="L80" s="10">
        <v>1460</v>
      </c>
      <c r="M80" s="6">
        <v>44.7</v>
      </c>
      <c r="N80" s="9">
        <f>$N79</f>
        <v>1.865</v>
      </c>
      <c r="O80" s="9">
        <f t="shared" si="57"/>
        <v>83.365500000000011</v>
      </c>
      <c r="P80" s="10">
        <f t="shared" ref="P80:P83" si="61">((H80/100)*K80*L80)/I80*J80</f>
        <v>3860.9538487596897</v>
      </c>
      <c r="Q80" s="9">
        <f t="shared" si="58"/>
        <v>26.962803845761091</v>
      </c>
      <c r="R80" s="11">
        <f t="shared" si="59"/>
        <v>3.8474986029149692E-2</v>
      </c>
    </row>
    <row r="81" spans="1:18" ht="16.5" customHeight="1">
      <c r="A81" s="6" t="s">
        <v>35</v>
      </c>
      <c r="B81" s="7">
        <v>16.958670033670035</v>
      </c>
      <c r="C81" s="7">
        <v>615.03559999999993</v>
      </c>
      <c r="D81" s="8">
        <v>18.924013921113691</v>
      </c>
      <c r="E81" s="8">
        <v>14</v>
      </c>
      <c r="F81" s="6">
        <v>0.9</v>
      </c>
      <c r="G81" s="9">
        <f t="shared" ref="G81:G83" si="62">$G80</f>
        <v>85.676888888888868</v>
      </c>
      <c r="H81" s="9">
        <f t="shared" si="60"/>
        <v>0.43503480278422274</v>
      </c>
      <c r="I81" s="6">
        <v>11</v>
      </c>
      <c r="J81" s="6">
        <v>0.85</v>
      </c>
      <c r="K81" s="10">
        <v>5000</v>
      </c>
      <c r="L81" s="10">
        <v>1450</v>
      </c>
      <c r="M81" s="6">
        <v>44.7</v>
      </c>
      <c r="N81" s="9">
        <f t="shared" ref="N81:N83" si="63">$N80</f>
        <v>1.865</v>
      </c>
      <c r="O81" s="9">
        <f t="shared" si="57"/>
        <v>83.365500000000011</v>
      </c>
      <c r="P81" s="10">
        <f t="shared" si="61"/>
        <v>2437.1836110525201</v>
      </c>
      <c r="Q81" s="9">
        <f t="shared" si="58"/>
        <v>29.262767177638068</v>
      </c>
      <c r="R81" s="11">
        <f t="shared" si="59"/>
        <v>4.1756953941972506E-2</v>
      </c>
    </row>
    <row r="82" spans="1:18" ht="16.5" customHeight="1">
      <c r="A82" s="6" t="s">
        <v>32</v>
      </c>
      <c r="B82" s="7">
        <v>13.465329218106993</v>
      </c>
      <c r="C82" s="7">
        <v>449.76187654320978</v>
      </c>
      <c r="D82" s="8">
        <v>33.711358673399751</v>
      </c>
      <c r="E82" s="8">
        <v>19.661764705882351</v>
      </c>
      <c r="F82" s="6">
        <v>0.9</v>
      </c>
      <c r="G82" s="9">
        <f t="shared" si="62"/>
        <v>85.676888888888868</v>
      </c>
      <c r="H82" s="9">
        <f t="shared" si="60"/>
        <v>0.79134644773238849</v>
      </c>
      <c r="I82" s="6">
        <v>11</v>
      </c>
      <c r="J82" s="6">
        <v>0.85</v>
      </c>
      <c r="K82" s="10">
        <v>5000</v>
      </c>
      <c r="L82" s="10">
        <v>1420</v>
      </c>
      <c r="M82" s="6">
        <v>44.7</v>
      </c>
      <c r="N82" s="9">
        <f t="shared" si="63"/>
        <v>1.865</v>
      </c>
      <c r="O82" s="9">
        <f>M82*N82</f>
        <v>83.365500000000011</v>
      </c>
      <c r="P82" s="10">
        <f t="shared" si="61"/>
        <v>4341.6143746045136</v>
      </c>
      <c r="Q82" s="9">
        <f t="shared" si="58"/>
        <v>28.388858104343676</v>
      </c>
      <c r="R82" s="11">
        <f t="shared" si="59"/>
        <v>4.050991600118227E-2</v>
      </c>
    </row>
    <row r="83" spans="1:18" ht="16.5" customHeight="1">
      <c r="A83" s="6" t="s">
        <v>34</v>
      </c>
      <c r="B83" s="7">
        <v>16.795987654320989</v>
      </c>
      <c r="C83" s="7">
        <v>534.00959999999998</v>
      </c>
      <c r="D83" s="8">
        <v>26.764527525838439</v>
      </c>
      <c r="E83" s="8">
        <v>17.280303030303031</v>
      </c>
      <c r="F83" s="6">
        <v>0.9</v>
      </c>
      <c r="G83" s="9">
        <f t="shared" si="62"/>
        <v>85.676888888888868</v>
      </c>
      <c r="H83" s="9">
        <f t="shared" si="60"/>
        <v>0.61527649484686064</v>
      </c>
      <c r="I83" s="6">
        <v>11</v>
      </c>
      <c r="J83" s="6">
        <v>0.85</v>
      </c>
      <c r="K83" s="10">
        <v>5000</v>
      </c>
      <c r="L83" s="10">
        <v>1450</v>
      </c>
      <c r="M83" s="6">
        <v>44.7</v>
      </c>
      <c r="N83" s="9">
        <f t="shared" si="63"/>
        <v>1.865</v>
      </c>
      <c r="O83" s="9">
        <f>M83*N83</f>
        <v>83.365500000000011</v>
      </c>
      <c r="P83" s="10">
        <f t="shared" si="61"/>
        <v>3446.9467268125259</v>
      </c>
      <c r="Q83" s="9">
        <f t="shared" si="58"/>
        <v>29.005835184160738</v>
      </c>
      <c r="R83" s="11">
        <f t="shared" si="59"/>
        <v>4.1390320897574343E-2</v>
      </c>
    </row>
    <row r="84" spans="1:18" ht="16" customHeight="1">
      <c r="D84" s="19"/>
      <c r="F84" s="19"/>
      <c r="P84" s="41" t="s">
        <v>59</v>
      </c>
      <c r="Q84" s="42">
        <f>AVERAGE(Q79:Q83)</f>
        <v>28.171081647120513</v>
      </c>
      <c r="R84" s="43">
        <f>AVERAGE(R79:R83)</f>
        <v>4.0199156549121193E-2</v>
      </c>
    </row>
    <row r="86" spans="1:18" ht="16.5" customHeight="1">
      <c r="A86" s="22" t="s">
        <v>104</v>
      </c>
      <c r="B86" s="35"/>
      <c r="C86" s="35"/>
      <c r="D86" s="35"/>
      <c r="E86" s="35"/>
      <c r="F86" s="35"/>
      <c r="G86" s="35"/>
      <c r="H86" s="35"/>
      <c r="I86" s="36"/>
      <c r="J86" s="35"/>
      <c r="K86" s="35"/>
      <c r="L86" s="35"/>
      <c r="M86" s="35"/>
      <c r="N86" s="35"/>
      <c r="O86" s="35"/>
      <c r="P86" s="35"/>
      <c r="Q86" s="35"/>
      <c r="R86" s="35"/>
    </row>
    <row r="87" spans="1:18" ht="45.5" customHeight="1">
      <c r="A87" s="27" t="s">
        <v>28</v>
      </c>
      <c r="B87" s="27" t="s">
        <v>98</v>
      </c>
      <c r="C87" s="27" t="s">
        <v>79</v>
      </c>
      <c r="D87" s="27" t="s">
        <v>80</v>
      </c>
      <c r="E87" s="27" t="s">
        <v>123</v>
      </c>
      <c r="F87" s="27" t="s">
        <v>81</v>
      </c>
      <c r="G87" s="27" t="s">
        <v>99</v>
      </c>
      <c r="H87" s="27" t="s">
        <v>124</v>
      </c>
      <c r="I87" s="28" t="s">
        <v>125</v>
      </c>
      <c r="J87" s="27" t="s">
        <v>126</v>
      </c>
      <c r="K87" s="27" t="s">
        <v>127</v>
      </c>
      <c r="L87" s="27" t="s">
        <v>129</v>
      </c>
      <c r="M87" s="27" t="s">
        <v>82</v>
      </c>
      <c r="N87" s="27" t="s">
        <v>83</v>
      </c>
      <c r="O87" s="27" t="s">
        <v>84</v>
      </c>
      <c r="P87" s="27" t="s">
        <v>128</v>
      </c>
      <c r="Q87" s="27" t="s">
        <v>85</v>
      </c>
      <c r="R87" s="27" t="s">
        <v>122</v>
      </c>
    </row>
    <row r="88" spans="1:18" ht="16.5" customHeight="1">
      <c r="A88" s="6" t="s">
        <v>33</v>
      </c>
      <c r="B88" s="7">
        <v>12.984630392662524</v>
      </c>
      <c r="C88" s="7">
        <v>415.96019277108439</v>
      </c>
      <c r="D88" s="8">
        <v>29.105231644337994</v>
      </c>
      <c r="E88" s="8">
        <v>18.951612903225808</v>
      </c>
      <c r="F88" s="6">
        <v>0.9</v>
      </c>
      <c r="G88" s="9">
        <f>'Summary N2O from residue'!H18*1000</f>
        <v>95.881333333333316</v>
      </c>
      <c r="H88" s="9">
        <f>D88*100/(3000*L88/1000)</f>
        <v>0.6737322139893055</v>
      </c>
      <c r="I88" s="6">
        <v>11</v>
      </c>
      <c r="J88" s="6">
        <v>0.85</v>
      </c>
      <c r="K88" s="10">
        <v>5000</v>
      </c>
      <c r="L88" s="10">
        <v>1440</v>
      </c>
      <c r="M88" s="6">
        <v>44.7</v>
      </c>
      <c r="N88" s="9">
        <f>N79</f>
        <v>1.865</v>
      </c>
      <c r="O88" s="9">
        <f t="shared" ref="O88:O90" si="64">M88*N88</f>
        <v>83.365500000000011</v>
      </c>
      <c r="P88" s="10">
        <f>((H88/100)*K88*L88)/I88*J88</f>
        <v>3748.4010451041358</v>
      </c>
      <c r="Q88" s="9">
        <f t="shared" ref="Q88:Q92" si="65">(21.37+(C88/(E88*F88))*((0.0037*G88)+(0.0000601*P88)-(0.00362*O88)))</f>
        <v>28.155920311771471</v>
      </c>
      <c r="R88" s="11">
        <f t="shared" ref="R88:R92" si="66">(44/28)*0.0075*(14/62)*Q88/N88</f>
        <v>4.0177521849366876E-2</v>
      </c>
    </row>
    <row r="89" spans="1:18" ht="16.5" customHeight="1">
      <c r="A89" s="6" t="s">
        <v>36</v>
      </c>
      <c r="B89" s="7">
        <v>17.701178451178453</v>
      </c>
      <c r="C89" s="7">
        <v>482.54920000000004</v>
      </c>
      <c r="D89" s="8">
        <v>29.979171060957594</v>
      </c>
      <c r="E89" s="8">
        <v>23.704545454545453</v>
      </c>
      <c r="F89" s="6">
        <v>0.9</v>
      </c>
      <c r="G89" s="9">
        <f>$G88</f>
        <v>95.881333333333316</v>
      </c>
      <c r="H89" s="9">
        <f t="shared" ref="H89:H92" si="67">D89*100/(3000*L89/1000)</f>
        <v>0.68445596029583544</v>
      </c>
      <c r="I89" s="6">
        <v>11</v>
      </c>
      <c r="J89" s="6">
        <v>0.85</v>
      </c>
      <c r="K89" s="10">
        <v>5000</v>
      </c>
      <c r="L89" s="10">
        <v>1460</v>
      </c>
      <c r="M89" s="6">
        <v>44.7</v>
      </c>
      <c r="N89" s="9">
        <f>$N88</f>
        <v>1.865</v>
      </c>
      <c r="O89" s="9">
        <f t="shared" si="64"/>
        <v>83.365500000000011</v>
      </c>
      <c r="P89" s="10">
        <f t="shared" ref="P89:P92" si="68">((H89/100)*K89*L89)/I89*J89</f>
        <v>3860.9538487596897</v>
      </c>
      <c r="Q89" s="9">
        <f t="shared" si="65"/>
        <v>27.816805178142566</v>
      </c>
      <c r="R89" s="11">
        <f t="shared" si="66"/>
        <v>3.9693616314049315E-2</v>
      </c>
    </row>
    <row r="90" spans="1:18" ht="16.5" customHeight="1">
      <c r="A90" s="6" t="s">
        <v>35</v>
      </c>
      <c r="B90" s="7">
        <v>16.958670033670035</v>
      </c>
      <c r="C90" s="7">
        <v>615.03559999999993</v>
      </c>
      <c r="D90" s="8">
        <v>18.924013921113691</v>
      </c>
      <c r="E90" s="8">
        <v>14</v>
      </c>
      <c r="F90" s="6">
        <v>0.9</v>
      </c>
      <c r="G90" s="9">
        <f t="shared" ref="G90:G92" si="69">$G89</f>
        <v>95.881333333333316</v>
      </c>
      <c r="H90" s="9">
        <f t="shared" si="67"/>
        <v>0.43503480278422274</v>
      </c>
      <c r="I90" s="6">
        <v>11</v>
      </c>
      <c r="J90" s="6">
        <v>0.85</v>
      </c>
      <c r="K90" s="10">
        <v>5000</v>
      </c>
      <c r="L90" s="10">
        <v>1450</v>
      </c>
      <c r="M90" s="6">
        <v>44.7</v>
      </c>
      <c r="N90" s="9">
        <f t="shared" ref="N90:N92" si="70">$N89</f>
        <v>1.865</v>
      </c>
      <c r="O90" s="9">
        <f t="shared" si="64"/>
        <v>83.365500000000011</v>
      </c>
      <c r="P90" s="10">
        <f t="shared" si="68"/>
        <v>2437.1836110525201</v>
      </c>
      <c r="Q90" s="9">
        <f t="shared" si="65"/>
        <v>31.105747928650416</v>
      </c>
      <c r="R90" s="11">
        <f t="shared" si="66"/>
        <v>4.4386823559866111E-2</v>
      </c>
    </row>
    <row r="91" spans="1:18" ht="16.5" customHeight="1">
      <c r="A91" s="6" t="s">
        <v>32</v>
      </c>
      <c r="B91" s="7">
        <v>13.465329218106993</v>
      </c>
      <c r="C91" s="7">
        <v>449.76187654320978</v>
      </c>
      <c r="D91" s="8">
        <v>33.711358673399751</v>
      </c>
      <c r="E91" s="8">
        <v>19.661764705882351</v>
      </c>
      <c r="F91" s="6">
        <v>0.9</v>
      </c>
      <c r="G91" s="9">
        <f t="shared" si="69"/>
        <v>95.881333333333316</v>
      </c>
      <c r="H91" s="9">
        <f t="shared" si="67"/>
        <v>0.79134644773238849</v>
      </c>
      <c r="I91" s="6">
        <v>11</v>
      </c>
      <c r="J91" s="6">
        <v>0.85</v>
      </c>
      <c r="K91" s="10">
        <v>5000</v>
      </c>
      <c r="L91" s="10">
        <v>1420</v>
      </c>
      <c r="M91" s="6">
        <v>44.7</v>
      </c>
      <c r="N91" s="9">
        <f t="shared" si="70"/>
        <v>1.865</v>
      </c>
      <c r="O91" s="9">
        <f>M91*N91</f>
        <v>83.365500000000011</v>
      </c>
      <c r="P91" s="10">
        <f t="shared" si="68"/>
        <v>4341.6143746045136</v>
      </c>
      <c r="Q91" s="9">
        <f t="shared" si="65"/>
        <v>29.348498952623764</v>
      </c>
      <c r="R91" s="11">
        <f t="shared" si="66"/>
        <v>4.1879290211735018E-2</v>
      </c>
    </row>
    <row r="92" spans="1:18" ht="16.5" customHeight="1">
      <c r="A92" s="6" t="s">
        <v>34</v>
      </c>
      <c r="B92" s="7">
        <v>16.795987654320989</v>
      </c>
      <c r="C92" s="7">
        <v>534.00959999999998</v>
      </c>
      <c r="D92" s="8">
        <v>26.764527525838439</v>
      </c>
      <c r="E92" s="8">
        <v>17.280303030303031</v>
      </c>
      <c r="F92" s="6">
        <v>0.9</v>
      </c>
      <c r="G92" s="9">
        <f t="shared" si="69"/>
        <v>95.881333333333316</v>
      </c>
      <c r="H92" s="9">
        <f t="shared" si="67"/>
        <v>0.61527649484686064</v>
      </c>
      <c r="I92" s="6">
        <v>11</v>
      </c>
      <c r="J92" s="6">
        <v>0.85</v>
      </c>
      <c r="K92" s="10">
        <v>5000</v>
      </c>
      <c r="L92" s="10">
        <v>1450</v>
      </c>
      <c r="M92" s="6">
        <v>44.7</v>
      </c>
      <c r="N92" s="9">
        <f t="shared" si="70"/>
        <v>1.865</v>
      </c>
      <c r="O92" s="9">
        <f>M92*N92</f>
        <v>83.365500000000011</v>
      </c>
      <c r="P92" s="10">
        <f t="shared" si="68"/>
        <v>3446.9467268125259</v>
      </c>
      <c r="Q92" s="9">
        <f t="shared" si="65"/>
        <v>30.30225688076866</v>
      </c>
      <c r="R92" s="11">
        <f t="shared" si="66"/>
        <v>4.3240269699272055E-2</v>
      </c>
    </row>
    <row r="93" spans="1:18" ht="16" customHeight="1">
      <c r="D93" s="19"/>
      <c r="F93" s="19"/>
      <c r="P93" s="41" t="s">
        <v>59</v>
      </c>
      <c r="Q93" s="42">
        <f>AVERAGE(Q88:Q92)</f>
        <v>29.345845850391374</v>
      </c>
      <c r="R93" s="43">
        <f>AVERAGE(R88:R92)</f>
        <v>4.1875504326857875E-2</v>
      </c>
    </row>
  </sheetData>
  <mergeCells count="2">
    <mergeCell ref="A12:C12"/>
    <mergeCell ref="A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Summary total N2O from N fert</vt:lpstr>
      <vt:lpstr>Summary N2O from residue</vt:lpstr>
      <vt:lpstr>Define amount of N in residue</vt:lpstr>
      <vt:lpstr>CA</vt:lpstr>
      <vt:lpstr>KS</vt:lpstr>
      <vt:lpstr>MT</vt:lpstr>
      <vt:lpstr>ND</vt:lpstr>
      <vt:lpstr>NE</vt:lpstr>
      <vt:lpstr>OK</vt:lpstr>
      <vt:lpstr>OR</vt:lpstr>
      <vt:lpstr>SD</vt:lpstr>
      <vt:lpstr>TX</vt:lpstr>
      <vt:lpstr>WA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Suchada Ukaew</cp:lastModifiedBy>
  <cp:lastPrinted>2013-05-22T14:58:14Z</cp:lastPrinted>
  <dcterms:created xsi:type="dcterms:W3CDTF">2012-09-17T23:39:04Z</dcterms:created>
  <dcterms:modified xsi:type="dcterms:W3CDTF">2015-04-29T04:33:02Z</dcterms:modified>
</cp:coreProperties>
</file>